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AZNA\Users\Public\Public\2023\ФІНПЛАНИ\2022\ЗВІТ ЗА  9 місяців 2022\"/>
    </mc:Choice>
  </mc:AlternateContent>
  <bookViews>
    <workbookView xWindow="0" yWindow="0" windowWidth="28800" windowHeight="12000" tabRatio="838" activeTab="2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озшифровка кап" sheetId="24" r:id="rId4"/>
    <sheet name="Розшифровка за джерелами" sheetId="9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Формування'!$4:$5</definedName>
    <definedName name="_xlnm.Print_Titles" localSheetId="2">'Розшифровка 2 до формування'!$4:$5</definedName>
    <definedName name="_xlnm.Print_Titles" localSheetId="3">'Розшифровка кап'!$3:$4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фінпла'!$A$1:$H$100</definedName>
    <definedName name="_xlnm.Print_Area" localSheetId="1">'Розшифровка 1 до Формування'!$A$1:$H$126</definedName>
    <definedName name="_xlnm.Print_Area" localSheetId="2">'Розшифровка 2 до формування'!$A$1:$H$344</definedName>
    <definedName name="_xlnm.Print_Area" localSheetId="4">'Розшифровка за джерелами'!$A$1:$P$93</definedName>
    <definedName name="_xlnm.Print_Area" localSheetId="3">'Розшифровка кап'!$A$1:$G$142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62913"/>
</workbook>
</file>

<file path=xl/calcChain.xml><?xml version="1.0" encoding="utf-8"?>
<calcChain xmlns="http://schemas.openxmlformats.org/spreadsheetml/2006/main">
  <c r="F38" i="22" l="1"/>
  <c r="F43" i="22"/>
  <c r="F264" i="26" l="1"/>
  <c r="G264" i="26"/>
  <c r="H6" i="22"/>
  <c r="G6" i="22"/>
  <c r="D190" i="26"/>
  <c r="H341" i="26"/>
  <c r="G341" i="26"/>
  <c r="H340" i="26"/>
  <c r="G340" i="26"/>
  <c r="H339" i="26"/>
  <c r="G339" i="26"/>
  <c r="H338" i="26"/>
  <c r="G338" i="26"/>
  <c r="H337" i="26"/>
  <c r="G337" i="26"/>
  <c r="H336" i="26"/>
  <c r="G336" i="26"/>
  <c r="H335" i="26"/>
  <c r="G335" i="26"/>
  <c r="H334" i="26"/>
  <c r="G334" i="26"/>
  <c r="H333" i="26"/>
  <c r="G333" i="26"/>
  <c r="H332" i="26"/>
  <c r="G332" i="26"/>
  <c r="H331" i="26"/>
  <c r="G331" i="26"/>
  <c r="H330" i="26"/>
  <c r="G330" i="26"/>
  <c r="H329" i="26"/>
  <c r="G329" i="26"/>
  <c r="H328" i="26"/>
  <c r="G328" i="26"/>
  <c r="H327" i="26"/>
  <c r="G327" i="26"/>
  <c r="H326" i="26"/>
  <c r="G326" i="26"/>
  <c r="H325" i="26"/>
  <c r="G325" i="26"/>
  <c r="H324" i="26"/>
  <c r="G324" i="26"/>
  <c r="H323" i="26"/>
  <c r="G323" i="26"/>
  <c r="H322" i="26"/>
  <c r="G322" i="26"/>
  <c r="H321" i="26"/>
  <c r="G321" i="26"/>
  <c r="H320" i="26"/>
  <c r="G320" i="26"/>
  <c r="H319" i="26"/>
  <c r="G319" i="26"/>
  <c r="H318" i="26"/>
  <c r="G318" i="26"/>
  <c r="H317" i="26"/>
  <c r="G317" i="26"/>
  <c r="H316" i="26"/>
  <c r="G316" i="26"/>
  <c r="H315" i="26"/>
  <c r="G315" i="26"/>
  <c r="H314" i="26"/>
  <c r="G314" i="26"/>
  <c r="H313" i="26"/>
  <c r="G313" i="26"/>
  <c r="H312" i="26"/>
  <c r="G312" i="26"/>
  <c r="H311" i="26"/>
  <c r="G311" i="26"/>
  <c r="H310" i="26"/>
  <c r="G310" i="26"/>
  <c r="H309" i="26"/>
  <c r="G309" i="26"/>
  <c r="H308" i="26"/>
  <c r="G308" i="26"/>
  <c r="H307" i="26"/>
  <c r="G307" i="26"/>
  <c r="H306" i="26"/>
  <c r="G306" i="26"/>
  <c r="H305" i="26"/>
  <c r="G305" i="26"/>
  <c r="H304" i="26"/>
  <c r="G304" i="26"/>
  <c r="H303" i="26"/>
  <c r="G303" i="26"/>
  <c r="H302" i="26"/>
  <c r="G302" i="26"/>
  <c r="H301" i="26"/>
  <c r="G301" i="26"/>
  <c r="H300" i="26"/>
  <c r="G300" i="26"/>
  <c r="H299" i="26"/>
  <c r="G299" i="26"/>
  <c r="H298" i="26"/>
  <c r="G298" i="26"/>
  <c r="H297" i="26"/>
  <c r="G297" i="26"/>
  <c r="H296" i="26"/>
  <c r="G296" i="26"/>
  <c r="H295" i="26"/>
  <c r="G295" i="26"/>
  <c r="H294" i="26"/>
  <c r="G294" i="26"/>
  <c r="H293" i="26"/>
  <c r="G293" i="26"/>
  <c r="H292" i="26"/>
  <c r="G292" i="26"/>
  <c r="H291" i="26"/>
  <c r="G291" i="26"/>
  <c r="H290" i="26"/>
  <c r="G290" i="26"/>
  <c r="H289" i="26"/>
  <c r="G289" i="26"/>
  <c r="H288" i="26"/>
  <c r="G288" i="26"/>
  <c r="H287" i="26"/>
  <c r="G287" i="26"/>
  <c r="H285" i="26"/>
  <c r="G285" i="26"/>
  <c r="H284" i="26"/>
  <c r="G284" i="26"/>
  <c r="H283" i="26"/>
  <c r="G283" i="26"/>
  <c r="H282" i="26"/>
  <c r="G282" i="26"/>
  <c r="H281" i="26"/>
  <c r="G281" i="26"/>
  <c r="H280" i="26"/>
  <c r="G280" i="26"/>
  <c r="H279" i="26"/>
  <c r="G279" i="26"/>
  <c r="H278" i="26"/>
  <c r="G278" i="26"/>
  <c r="H277" i="26"/>
  <c r="G277" i="26"/>
  <c r="H276" i="26"/>
  <c r="G276" i="26"/>
  <c r="H275" i="26"/>
  <c r="G275" i="26"/>
  <c r="H274" i="26"/>
  <c r="G274" i="26"/>
  <c r="H273" i="26"/>
  <c r="G273" i="26"/>
  <c r="H272" i="26"/>
  <c r="G272" i="26"/>
  <c r="H271" i="26"/>
  <c r="G271" i="26"/>
  <c r="H270" i="26"/>
  <c r="G270" i="26"/>
  <c r="H269" i="26"/>
  <c r="G269" i="26"/>
  <c r="H268" i="26"/>
  <c r="G268" i="26"/>
  <c r="H267" i="26"/>
  <c r="G267" i="26"/>
  <c r="H266" i="26"/>
  <c r="G266" i="26"/>
  <c r="H265" i="26"/>
  <c r="G265" i="26"/>
  <c r="H264" i="26"/>
  <c r="H263" i="26"/>
  <c r="G263" i="26"/>
  <c r="H258" i="26"/>
  <c r="G258" i="26"/>
  <c r="H257" i="26"/>
  <c r="G257" i="26"/>
  <c r="H256" i="26"/>
  <c r="G256" i="26"/>
  <c r="H254" i="26"/>
  <c r="G254" i="26"/>
  <c r="H253" i="26"/>
  <c r="G253" i="26"/>
  <c r="H252" i="26"/>
  <c r="G252" i="26"/>
  <c r="H251" i="26"/>
  <c r="G251" i="26"/>
  <c r="H250" i="26"/>
  <c r="G250" i="26"/>
  <c r="H249" i="26"/>
  <c r="G249" i="26"/>
  <c r="H248" i="26"/>
  <c r="G248" i="26"/>
  <c r="H246" i="26"/>
  <c r="G246" i="26"/>
  <c r="H245" i="26"/>
  <c r="G245" i="26"/>
  <c r="H244" i="26"/>
  <c r="G244" i="26"/>
  <c r="H243" i="26"/>
  <c r="G243" i="26"/>
  <c r="H242" i="26"/>
  <c r="G242" i="26"/>
  <c r="H241" i="26"/>
  <c r="G241" i="26"/>
  <c r="H239" i="26"/>
  <c r="G239" i="26"/>
  <c r="H238" i="26"/>
  <c r="G238" i="26"/>
  <c r="H237" i="26"/>
  <c r="G237" i="26"/>
  <c r="H236" i="26"/>
  <c r="G236" i="26"/>
  <c r="H235" i="26"/>
  <c r="G235" i="26"/>
  <c r="H234" i="26"/>
  <c r="G234" i="26"/>
  <c r="H232" i="26"/>
  <c r="G232" i="26"/>
  <c r="H231" i="26"/>
  <c r="G231" i="26"/>
  <c r="H230" i="26"/>
  <c r="G230" i="26"/>
  <c r="H229" i="26"/>
  <c r="G229" i="26"/>
  <c r="H228" i="26"/>
  <c r="G228" i="26"/>
  <c r="H227" i="26"/>
  <c r="G227" i="26"/>
  <c r="H226" i="26"/>
  <c r="G226" i="26"/>
  <c r="H225" i="26"/>
  <c r="G225" i="26"/>
  <c r="H224" i="26"/>
  <c r="G224" i="26"/>
  <c r="H222" i="26"/>
  <c r="G222" i="26"/>
  <c r="H221" i="26"/>
  <c r="G221" i="26"/>
  <c r="H220" i="26"/>
  <c r="G220" i="26"/>
  <c r="H219" i="26"/>
  <c r="G219" i="26"/>
  <c r="H218" i="26"/>
  <c r="G218" i="26"/>
  <c r="H217" i="26"/>
  <c r="G217" i="26"/>
  <c r="H216" i="26"/>
  <c r="G216" i="26"/>
  <c r="H215" i="26"/>
  <c r="G215" i="26"/>
  <c r="H213" i="26"/>
  <c r="G213" i="26"/>
  <c r="H212" i="26"/>
  <c r="G212" i="26"/>
  <c r="H211" i="26"/>
  <c r="G211" i="26"/>
  <c r="H210" i="26"/>
  <c r="G210" i="26"/>
  <c r="H209" i="26"/>
  <c r="G209" i="26"/>
  <c r="H208" i="26"/>
  <c r="G208" i="26"/>
  <c r="H207" i="26"/>
  <c r="G207" i="26"/>
  <c r="H206" i="26"/>
  <c r="G206" i="26"/>
  <c r="H205" i="26"/>
  <c r="G205" i="26"/>
  <c r="H204" i="26"/>
  <c r="G204" i="26"/>
  <c r="H203" i="26"/>
  <c r="G203" i="26"/>
  <c r="H202" i="26"/>
  <c r="G202" i="26"/>
  <c r="H201" i="26"/>
  <c r="G201" i="26"/>
  <c r="H200" i="26"/>
  <c r="G200" i="26"/>
  <c r="H199" i="26"/>
  <c r="G199" i="26"/>
  <c r="H198" i="26"/>
  <c r="G198" i="26"/>
  <c r="H197" i="26"/>
  <c r="G197" i="26"/>
  <c r="H196" i="26"/>
  <c r="G196" i="26"/>
  <c r="H195" i="26"/>
  <c r="G195" i="26"/>
  <c r="H194" i="26"/>
  <c r="G194" i="26"/>
  <c r="H193" i="26"/>
  <c r="G193" i="26"/>
  <c r="H192" i="26"/>
  <c r="G192" i="26"/>
  <c r="H191" i="26"/>
  <c r="G191" i="26"/>
  <c r="H190" i="26"/>
  <c r="G190" i="26"/>
  <c r="H188" i="26"/>
  <c r="G188" i="26"/>
  <c r="H187" i="26"/>
  <c r="G187" i="26"/>
  <c r="H186" i="26"/>
  <c r="G186" i="26"/>
  <c r="H185" i="26"/>
  <c r="G185" i="26"/>
  <c r="H183" i="26"/>
  <c r="G183" i="26"/>
  <c r="H182" i="26"/>
  <c r="G182" i="26"/>
  <c r="H181" i="26"/>
  <c r="G181" i="26"/>
  <c r="H180" i="26"/>
  <c r="G180" i="26"/>
  <c r="H179" i="26"/>
  <c r="G179" i="26"/>
  <c r="H178" i="26"/>
  <c r="G178" i="26"/>
  <c r="H177" i="26"/>
  <c r="G177" i="26"/>
  <c r="H176" i="26"/>
  <c r="G176" i="26"/>
  <c r="H175" i="26"/>
  <c r="G175" i="26"/>
  <c r="H174" i="26"/>
  <c r="G174" i="26"/>
  <c r="H172" i="26"/>
  <c r="G172" i="26"/>
  <c r="H171" i="26"/>
  <c r="G171" i="26"/>
  <c r="H170" i="26"/>
  <c r="G170" i="26"/>
  <c r="H169" i="26"/>
  <c r="G169" i="26"/>
  <c r="H168" i="26"/>
  <c r="G168" i="26"/>
  <c r="H167" i="26"/>
  <c r="G167" i="26"/>
  <c r="H166" i="26"/>
  <c r="G166" i="26"/>
  <c r="H165" i="26"/>
  <c r="G165" i="26"/>
  <c r="H164" i="26"/>
  <c r="G164" i="26"/>
  <c r="H163" i="26"/>
  <c r="G163" i="26"/>
  <c r="H162" i="26"/>
  <c r="G162" i="26"/>
  <c r="H161" i="26"/>
  <c r="G161" i="26"/>
  <c r="H160" i="26"/>
  <c r="G160" i="26"/>
  <c r="H159" i="26"/>
  <c r="G159" i="26"/>
  <c r="H158" i="26"/>
  <c r="G158" i="26"/>
  <c r="H157" i="26"/>
  <c r="G157" i="26"/>
  <c r="H156" i="26"/>
  <c r="G156" i="26"/>
  <c r="H155" i="26"/>
  <c r="G155" i="26"/>
  <c r="H154" i="26"/>
  <c r="G154" i="26"/>
  <c r="H153" i="26"/>
  <c r="G153" i="26"/>
  <c r="H152" i="26"/>
  <c r="G152" i="26"/>
  <c r="H151" i="26"/>
  <c r="G151" i="26"/>
  <c r="H150" i="26"/>
  <c r="G150" i="26"/>
  <c r="H149" i="26"/>
  <c r="G149" i="26"/>
  <c r="H148" i="26"/>
  <c r="G148" i="26"/>
  <c r="H147" i="26"/>
  <c r="G147" i="26"/>
  <c r="H146" i="26"/>
  <c r="G146" i="26"/>
  <c r="H145" i="26"/>
  <c r="G145" i="26"/>
  <c r="H143" i="26"/>
  <c r="G143" i="26"/>
  <c r="H142" i="26"/>
  <c r="G142" i="26"/>
  <c r="H141" i="26"/>
  <c r="G141" i="26"/>
  <c r="H140" i="26"/>
  <c r="G140" i="26"/>
  <c r="H139" i="26"/>
  <c r="G139" i="26"/>
  <c r="H138" i="26"/>
  <c r="G138" i="26"/>
  <c r="H137" i="26"/>
  <c r="G137" i="26"/>
  <c r="H136" i="26"/>
  <c r="G136" i="26"/>
  <c r="H135" i="26"/>
  <c r="G135" i="26"/>
  <c r="H134" i="26"/>
  <c r="G134" i="26"/>
  <c r="H133" i="26"/>
  <c r="G133" i="26"/>
  <c r="H132" i="26"/>
  <c r="G132" i="26"/>
  <c r="H131" i="26"/>
  <c r="G131" i="26"/>
  <c r="H130" i="26"/>
  <c r="G130" i="26"/>
  <c r="H129" i="26"/>
  <c r="G129" i="26"/>
  <c r="H128" i="26"/>
  <c r="G128" i="26"/>
  <c r="G127" i="26"/>
  <c r="H126" i="26"/>
  <c r="G126" i="26"/>
  <c r="H125" i="26"/>
  <c r="G125" i="26"/>
  <c r="G124" i="26"/>
  <c r="H123" i="26"/>
  <c r="G123" i="26"/>
  <c r="H122" i="26"/>
  <c r="G122" i="26"/>
  <c r="H121" i="26"/>
  <c r="G121" i="26"/>
  <c r="H119" i="26"/>
  <c r="G119" i="26"/>
  <c r="H118" i="26"/>
  <c r="G118" i="26"/>
  <c r="H117" i="26"/>
  <c r="G117" i="26"/>
  <c r="H116" i="26"/>
  <c r="G116" i="26"/>
  <c r="H115" i="26"/>
  <c r="G115" i="26"/>
  <c r="H114" i="26"/>
  <c r="G114" i="26"/>
  <c r="H113" i="26"/>
  <c r="G113" i="26"/>
  <c r="H112" i="26"/>
  <c r="G112" i="26"/>
  <c r="H111" i="26"/>
  <c r="G111" i="26"/>
  <c r="H110" i="26"/>
  <c r="G110" i="26"/>
  <c r="H109" i="26"/>
  <c r="G109" i="26"/>
  <c r="H108" i="26"/>
  <c r="G108" i="26"/>
  <c r="H107" i="26"/>
  <c r="G107" i="26"/>
  <c r="H106" i="26"/>
  <c r="G106" i="26"/>
  <c r="H105" i="26"/>
  <c r="G105" i="26"/>
  <c r="H104" i="26"/>
  <c r="G104" i="26"/>
  <c r="H103" i="26"/>
  <c r="G103" i="26"/>
  <c r="H102" i="26"/>
  <c r="G102" i="26"/>
  <c r="H101" i="26"/>
  <c r="G101" i="26"/>
  <c r="H100" i="26"/>
  <c r="G100" i="26"/>
  <c r="H99" i="26"/>
  <c r="G99" i="26"/>
  <c r="H98" i="26"/>
  <c r="G98" i="26"/>
  <c r="H97" i="26"/>
  <c r="G97" i="26"/>
  <c r="H96" i="26"/>
  <c r="G96" i="26"/>
  <c r="H95" i="26"/>
  <c r="G95" i="26"/>
  <c r="H94" i="26"/>
  <c r="G94" i="26"/>
  <c r="H93" i="26"/>
  <c r="G93" i="26"/>
  <c r="H92" i="26"/>
  <c r="G92" i="26"/>
  <c r="H91" i="26"/>
  <c r="G91" i="26"/>
  <c r="H90" i="26"/>
  <c r="G90" i="26"/>
  <c r="H89" i="26"/>
  <c r="G89" i="26"/>
  <c r="H88" i="26"/>
  <c r="G88" i="26"/>
  <c r="H87" i="26"/>
  <c r="G87" i="26"/>
  <c r="H86" i="26"/>
  <c r="G86" i="26"/>
  <c r="H85" i="26"/>
  <c r="G85" i="26"/>
  <c r="H84" i="26"/>
  <c r="G84" i="26"/>
  <c r="H83" i="26"/>
  <c r="G83" i="26"/>
  <c r="H82" i="26"/>
  <c r="G82" i="26"/>
  <c r="H81" i="26"/>
  <c r="G81" i="26"/>
  <c r="H80" i="26"/>
  <c r="G80" i="26"/>
  <c r="H79" i="26"/>
  <c r="G79" i="26"/>
  <c r="H78" i="26"/>
  <c r="G78" i="26"/>
  <c r="H77" i="26"/>
  <c r="G77" i="26"/>
  <c r="H76" i="26"/>
  <c r="G76" i="26"/>
  <c r="H75" i="26"/>
  <c r="G75" i="26"/>
  <c r="H74" i="26"/>
  <c r="G74" i="26"/>
  <c r="H73" i="26"/>
  <c r="G73" i="26"/>
  <c r="H72" i="26"/>
  <c r="G72" i="26"/>
  <c r="H71" i="26"/>
  <c r="G71" i="26"/>
  <c r="H70" i="26"/>
  <c r="G70" i="26"/>
  <c r="H69" i="26"/>
  <c r="G69" i="26"/>
  <c r="H68" i="26"/>
  <c r="G68" i="26"/>
  <c r="H67" i="26"/>
  <c r="G67" i="26"/>
  <c r="H66" i="26"/>
  <c r="G66" i="26"/>
  <c r="H65" i="26"/>
  <c r="G65" i="26"/>
  <c r="H64" i="26"/>
  <c r="G64" i="26"/>
  <c r="H63" i="26"/>
  <c r="G63" i="26"/>
  <c r="H62" i="26"/>
  <c r="G62" i="26"/>
  <c r="H60" i="26"/>
  <c r="G60" i="26"/>
  <c r="H59" i="26"/>
  <c r="G59" i="26"/>
  <c r="H58" i="26"/>
  <c r="G58" i="26"/>
  <c r="H57" i="26"/>
  <c r="G57" i="26"/>
  <c r="H56" i="26"/>
  <c r="G56" i="26"/>
  <c r="H55" i="26"/>
  <c r="G55" i="26"/>
  <c r="H54" i="26"/>
  <c r="G54" i="26"/>
  <c r="H53" i="26"/>
  <c r="G53" i="26"/>
  <c r="H52" i="26"/>
  <c r="G52" i="26"/>
  <c r="H51" i="26"/>
  <c r="G51" i="26"/>
  <c r="H50" i="26"/>
  <c r="G50" i="26"/>
  <c r="H48" i="26"/>
  <c r="G48" i="26"/>
  <c r="H47" i="26"/>
  <c r="G47" i="26"/>
  <c r="H46" i="26"/>
  <c r="G46" i="26"/>
  <c r="H45" i="26"/>
  <c r="G45" i="26"/>
  <c r="H43" i="26"/>
  <c r="G43" i="26"/>
  <c r="M12" i="26"/>
  <c r="D45" i="26"/>
  <c r="P86" i="9"/>
  <c r="O86" i="9"/>
  <c r="P85" i="9"/>
  <c r="O85" i="9"/>
  <c r="P84" i="9"/>
  <c r="O84" i="9"/>
  <c r="P83" i="9"/>
  <c r="O83" i="9"/>
  <c r="P82" i="9"/>
  <c r="O82" i="9"/>
  <c r="P81" i="9"/>
  <c r="O81" i="9"/>
  <c r="P80" i="9"/>
  <c r="O80" i="9"/>
  <c r="P79" i="9"/>
  <c r="O79" i="9"/>
  <c r="P78" i="9"/>
  <c r="O78" i="9"/>
  <c r="P77" i="9"/>
  <c r="O77" i="9"/>
  <c r="P76" i="9"/>
  <c r="O76" i="9"/>
  <c r="P75" i="9"/>
  <c r="O75" i="9"/>
  <c r="P74" i="9"/>
  <c r="O74" i="9"/>
  <c r="P73" i="9"/>
  <c r="O73" i="9"/>
  <c r="P72" i="9"/>
  <c r="O72" i="9"/>
  <c r="P71" i="9"/>
  <c r="O71" i="9"/>
  <c r="P70" i="9"/>
  <c r="O70" i="9"/>
  <c r="P69" i="9"/>
  <c r="O69" i="9"/>
  <c r="P68" i="9"/>
  <c r="O68" i="9"/>
  <c r="P67" i="9"/>
  <c r="O67" i="9"/>
  <c r="P66" i="9"/>
  <c r="O66" i="9"/>
  <c r="P65" i="9"/>
  <c r="O65" i="9"/>
  <c r="P64" i="9"/>
  <c r="O64" i="9"/>
  <c r="P63" i="9"/>
  <c r="O63" i="9"/>
  <c r="P62" i="9"/>
  <c r="O62" i="9"/>
  <c r="P61" i="9"/>
  <c r="O61" i="9"/>
  <c r="P60" i="9"/>
  <c r="O60" i="9"/>
  <c r="P59" i="9"/>
  <c r="O59" i="9"/>
  <c r="P58" i="9"/>
  <c r="O58" i="9"/>
  <c r="P57" i="9"/>
  <c r="O57" i="9"/>
  <c r="P56" i="9"/>
  <c r="O56" i="9"/>
  <c r="P55" i="9"/>
  <c r="O55" i="9"/>
  <c r="P54" i="9"/>
  <c r="O54" i="9"/>
  <c r="P53" i="9"/>
  <c r="O53" i="9"/>
  <c r="P52" i="9"/>
  <c r="O52" i="9"/>
  <c r="P51" i="9"/>
  <c r="O51" i="9"/>
  <c r="P50" i="9"/>
  <c r="O50" i="9"/>
  <c r="P49" i="9"/>
  <c r="O49" i="9"/>
  <c r="P48" i="9"/>
  <c r="O48" i="9"/>
  <c r="P47" i="9"/>
  <c r="O47" i="9"/>
  <c r="P46" i="9"/>
  <c r="O46" i="9"/>
  <c r="P45" i="9"/>
  <c r="O45" i="9"/>
  <c r="P44" i="9"/>
  <c r="O44" i="9"/>
  <c r="P43" i="9"/>
  <c r="O43" i="9"/>
  <c r="P42" i="9"/>
  <c r="O42" i="9"/>
  <c r="P41" i="9"/>
  <c r="O41" i="9"/>
  <c r="P40" i="9"/>
  <c r="O40" i="9"/>
  <c r="P39" i="9"/>
  <c r="O39" i="9"/>
  <c r="P38" i="9"/>
  <c r="O38" i="9"/>
  <c r="P37" i="9"/>
  <c r="O37" i="9"/>
  <c r="P36" i="9"/>
  <c r="O36" i="9"/>
  <c r="P35" i="9"/>
  <c r="O35" i="9"/>
  <c r="P34" i="9"/>
  <c r="O34" i="9"/>
  <c r="P33" i="9"/>
  <c r="O33" i="9"/>
  <c r="P32" i="9"/>
  <c r="O32" i="9"/>
  <c r="P31" i="9"/>
  <c r="O31" i="9"/>
  <c r="P30" i="9"/>
  <c r="O30" i="9"/>
  <c r="P29" i="9"/>
  <c r="O29" i="9"/>
  <c r="P28" i="9"/>
  <c r="O28" i="9"/>
  <c r="P27" i="9"/>
  <c r="O27" i="9"/>
  <c r="P26" i="9"/>
  <c r="O26" i="9"/>
  <c r="P25" i="9"/>
  <c r="O25" i="9"/>
  <c r="P24" i="9"/>
  <c r="O24" i="9"/>
  <c r="P23" i="9"/>
  <c r="O23" i="9"/>
  <c r="P22" i="9"/>
  <c r="O22" i="9"/>
  <c r="P21" i="9"/>
  <c r="O21" i="9"/>
  <c r="P20" i="9"/>
  <c r="O20" i="9"/>
  <c r="P19" i="9"/>
  <c r="O19" i="9"/>
  <c r="P18" i="9"/>
  <c r="O18" i="9"/>
  <c r="P17" i="9"/>
  <c r="O17" i="9"/>
  <c r="P16" i="9"/>
  <c r="O16" i="9"/>
  <c r="P15" i="9"/>
  <c r="O15" i="9"/>
  <c r="P14" i="9"/>
  <c r="O14" i="9"/>
  <c r="P13" i="9"/>
  <c r="O13" i="9"/>
  <c r="P12" i="9"/>
  <c r="O12" i="9"/>
  <c r="P11" i="9"/>
  <c r="O11" i="9"/>
  <c r="P10" i="9"/>
  <c r="O10" i="9"/>
  <c r="P9" i="9"/>
  <c r="O9" i="9"/>
  <c r="P8" i="9"/>
  <c r="O8" i="9"/>
  <c r="E91" i="14" l="1"/>
  <c r="G137" i="24"/>
  <c r="F137" i="24"/>
  <c r="G136" i="24"/>
  <c r="F136" i="24"/>
  <c r="G135" i="24"/>
  <c r="F135" i="24"/>
  <c r="G134" i="24"/>
  <c r="F134" i="24"/>
  <c r="G133" i="24"/>
  <c r="F133" i="24"/>
  <c r="G132" i="24"/>
  <c r="F132" i="24"/>
  <c r="G131" i="24"/>
  <c r="F131" i="24"/>
  <c r="G130" i="24"/>
  <c r="F130" i="24"/>
  <c r="G129" i="24"/>
  <c r="F129" i="24"/>
  <c r="G128" i="24"/>
  <c r="F128" i="24"/>
  <c r="G127" i="24"/>
  <c r="F127" i="24"/>
  <c r="G126" i="24"/>
  <c r="F126" i="24"/>
  <c r="G125" i="24"/>
  <c r="F125" i="24"/>
  <c r="G124" i="24"/>
  <c r="F124" i="24"/>
  <c r="G123" i="24"/>
  <c r="F123" i="24"/>
  <c r="G122" i="24"/>
  <c r="F122" i="24"/>
  <c r="G121" i="24"/>
  <c r="F121" i="24"/>
  <c r="G120" i="24"/>
  <c r="F120" i="24"/>
  <c r="G119" i="24"/>
  <c r="F119" i="24"/>
  <c r="G118" i="24"/>
  <c r="F118" i="24"/>
  <c r="G117" i="24"/>
  <c r="F117" i="24"/>
  <c r="G116" i="24"/>
  <c r="F116" i="24"/>
  <c r="G115" i="24"/>
  <c r="F115" i="24"/>
  <c r="G114" i="24"/>
  <c r="F114" i="24"/>
  <c r="G113" i="24"/>
  <c r="F113" i="24"/>
  <c r="G112" i="24"/>
  <c r="F112" i="24"/>
  <c r="G111" i="24"/>
  <c r="F111" i="24"/>
  <c r="G110" i="24"/>
  <c r="F110" i="24"/>
  <c r="G109" i="24"/>
  <c r="F109" i="24"/>
  <c r="G108" i="24"/>
  <c r="F108" i="24"/>
  <c r="G107" i="24"/>
  <c r="F107" i="24"/>
  <c r="G106" i="24"/>
  <c r="F106" i="24"/>
  <c r="G105" i="24"/>
  <c r="F105" i="24"/>
  <c r="G104" i="24"/>
  <c r="F104" i="24"/>
  <c r="G103" i="24"/>
  <c r="F103" i="24"/>
  <c r="G102" i="24"/>
  <c r="F102" i="24"/>
  <c r="G101" i="24"/>
  <c r="F101" i="24"/>
  <c r="G100" i="24"/>
  <c r="F100" i="24"/>
  <c r="G99" i="24"/>
  <c r="F99" i="24"/>
  <c r="G98" i="24"/>
  <c r="F98" i="24"/>
  <c r="G97" i="24"/>
  <c r="F97" i="24"/>
  <c r="G96" i="24"/>
  <c r="F96" i="24"/>
  <c r="G95" i="24"/>
  <c r="F95" i="24"/>
  <c r="G94" i="24"/>
  <c r="F94" i="24"/>
  <c r="G93" i="24"/>
  <c r="F93" i="24"/>
  <c r="G92" i="24"/>
  <c r="F92" i="24"/>
  <c r="G91" i="24"/>
  <c r="F91" i="24"/>
  <c r="G90" i="24"/>
  <c r="F90" i="24"/>
  <c r="G89" i="24"/>
  <c r="F89" i="24"/>
  <c r="G88" i="24"/>
  <c r="F88" i="24"/>
  <c r="G87" i="24"/>
  <c r="F87" i="24"/>
  <c r="G86" i="24"/>
  <c r="F86" i="24"/>
  <c r="G85" i="24"/>
  <c r="F85" i="24"/>
  <c r="G84" i="24"/>
  <c r="F84" i="24"/>
  <c r="G83" i="24"/>
  <c r="F83" i="24"/>
  <c r="G82" i="24"/>
  <c r="F82" i="24"/>
  <c r="G81" i="24"/>
  <c r="F81" i="24"/>
  <c r="G80" i="24"/>
  <c r="F80" i="24"/>
  <c r="G79" i="24"/>
  <c r="F79" i="24"/>
  <c r="G78" i="24"/>
  <c r="F78" i="24"/>
  <c r="G77" i="24"/>
  <c r="F77" i="24"/>
  <c r="G76" i="24"/>
  <c r="F76" i="24"/>
  <c r="G75" i="24"/>
  <c r="F75" i="24"/>
  <c r="G74" i="24"/>
  <c r="F74" i="24"/>
  <c r="G73" i="24"/>
  <c r="F73" i="24"/>
  <c r="G72" i="24"/>
  <c r="F72" i="24"/>
  <c r="G71" i="24"/>
  <c r="F71" i="24"/>
  <c r="G70" i="24"/>
  <c r="F70" i="24"/>
  <c r="G69" i="24"/>
  <c r="F69" i="24"/>
  <c r="G68" i="24"/>
  <c r="F68" i="24"/>
  <c r="G67" i="24"/>
  <c r="F67" i="24"/>
  <c r="G66" i="24"/>
  <c r="F66" i="24"/>
  <c r="G65" i="24"/>
  <c r="F65" i="24"/>
  <c r="G64" i="24"/>
  <c r="F64" i="24"/>
  <c r="G63" i="24"/>
  <c r="F63" i="24"/>
  <c r="G62" i="24"/>
  <c r="F62" i="24"/>
  <c r="G61" i="24"/>
  <c r="F61" i="24"/>
  <c r="G60" i="24"/>
  <c r="F60" i="24"/>
  <c r="G59" i="24"/>
  <c r="F59" i="24"/>
  <c r="G58" i="24"/>
  <c r="F58" i="24"/>
  <c r="G57" i="24"/>
  <c r="F57" i="24"/>
  <c r="G56" i="24"/>
  <c r="F56" i="24"/>
  <c r="G55" i="24"/>
  <c r="F55" i="24"/>
  <c r="G54" i="24"/>
  <c r="F54" i="24"/>
  <c r="G53" i="24"/>
  <c r="F53" i="24"/>
  <c r="G52" i="24"/>
  <c r="F52" i="24"/>
  <c r="G51" i="24"/>
  <c r="F51" i="24"/>
  <c r="G50" i="24"/>
  <c r="F50" i="24"/>
  <c r="G49" i="24"/>
  <c r="F49" i="24"/>
  <c r="G48" i="24"/>
  <c r="F48" i="24"/>
  <c r="G47" i="24"/>
  <c r="F47" i="24"/>
  <c r="G46" i="24"/>
  <c r="F46" i="24"/>
  <c r="G45" i="24"/>
  <c r="F45" i="24"/>
  <c r="G44" i="24"/>
  <c r="F44" i="24"/>
  <c r="G43" i="24"/>
  <c r="F43" i="24"/>
  <c r="G42" i="24"/>
  <c r="F42" i="24"/>
  <c r="G41" i="24"/>
  <c r="F41" i="24"/>
  <c r="G40" i="24"/>
  <c r="F40" i="24"/>
  <c r="G38" i="24"/>
  <c r="F38" i="24"/>
  <c r="G37" i="24"/>
  <c r="F37" i="24"/>
  <c r="G36" i="24"/>
  <c r="G35" i="24"/>
  <c r="F35" i="24"/>
  <c r="G34" i="24"/>
  <c r="F34" i="24"/>
  <c r="G33" i="24"/>
  <c r="F33" i="24"/>
  <c r="G32" i="24"/>
  <c r="F32" i="24"/>
  <c r="G31" i="24"/>
  <c r="F31" i="24"/>
  <c r="G30" i="24"/>
  <c r="F30" i="24"/>
  <c r="G29" i="24"/>
  <c r="F29" i="24"/>
  <c r="G28" i="24"/>
  <c r="F28" i="24"/>
  <c r="G27" i="24"/>
  <c r="F27" i="24"/>
  <c r="G26" i="24"/>
  <c r="F26" i="24"/>
  <c r="G25" i="24"/>
  <c r="F25" i="24"/>
  <c r="G24" i="24"/>
  <c r="F24" i="24"/>
  <c r="G23" i="24"/>
  <c r="F23" i="24"/>
  <c r="G22" i="24"/>
  <c r="F22" i="24"/>
  <c r="G21" i="24"/>
  <c r="F21" i="24"/>
  <c r="G20" i="24"/>
  <c r="F20" i="24"/>
  <c r="G19" i="24"/>
  <c r="F19" i="24"/>
  <c r="G18" i="24"/>
  <c r="F18" i="24"/>
  <c r="G17" i="24"/>
  <c r="F17" i="24"/>
  <c r="G16" i="24"/>
  <c r="F16" i="24"/>
  <c r="G15" i="24"/>
  <c r="F15" i="24"/>
  <c r="G14" i="24"/>
  <c r="F14" i="24"/>
  <c r="G13" i="24"/>
  <c r="F13" i="24"/>
  <c r="G12" i="24"/>
  <c r="F12" i="24"/>
  <c r="G11" i="24"/>
  <c r="F11" i="24"/>
  <c r="G10" i="24"/>
  <c r="F10" i="24"/>
  <c r="G9" i="24"/>
  <c r="F9" i="24"/>
  <c r="G8" i="24"/>
  <c r="F8" i="24"/>
  <c r="G7" i="24"/>
  <c r="F7" i="24"/>
  <c r="E96" i="14"/>
  <c r="E95" i="14"/>
  <c r="F93" i="14"/>
  <c r="D93" i="14"/>
  <c r="E93" i="14"/>
  <c r="D53" i="22"/>
  <c r="F21" i="22" l="1"/>
  <c r="F17" i="22"/>
  <c r="F258" i="26"/>
  <c r="F257" i="26" s="1"/>
  <c r="D256" i="26"/>
  <c r="D254" i="26" s="1"/>
  <c r="F15" i="22"/>
  <c r="F219" i="26"/>
  <c r="F194" i="26"/>
  <c r="E235" i="26"/>
  <c r="E234" i="26" s="1"/>
  <c r="E232" i="26" s="1"/>
  <c r="E225" i="26"/>
  <c r="E252" i="26"/>
  <c r="E249" i="26"/>
  <c r="E208" i="26"/>
  <c r="E207" i="26" s="1"/>
  <c r="E202" i="26"/>
  <c r="N28" i="26"/>
  <c r="M28" i="26"/>
  <c r="N27" i="26"/>
  <c r="M27" i="26"/>
  <c r="L28" i="26"/>
  <c r="L27" i="26"/>
  <c r="E168" i="26"/>
  <c r="M22" i="26"/>
  <c r="M21" i="26"/>
  <c r="M20" i="26"/>
  <c r="D150" i="26"/>
  <c r="L21" i="26"/>
  <c r="L20" i="26"/>
  <c r="F216" i="26" l="1"/>
  <c r="M13" i="26"/>
  <c r="M33" i="26" s="1"/>
  <c r="L14" i="26"/>
  <c r="L34" i="26" s="1"/>
  <c r="L13" i="26"/>
  <c r="L33" i="26" s="1"/>
  <c r="H42" i="26"/>
  <c r="G42" i="26"/>
  <c r="H40" i="26"/>
  <c r="G40" i="26"/>
  <c r="H39" i="26"/>
  <c r="G39" i="26"/>
  <c r="H37" i="26"/>
  <c r="G37" i="26"/>
  <c r="H36" i="26"/>
  <c r="G36" i="26"/>
  <c r="H34" i="26"/>
  <c r="G34" i="26"/>
  <c r="H29" i="26"/>
  <c r="G29" i="26"/>
  <c r="H28" i="26"/>
  <c r="G28" i="26"/>
  <c r="H26" i="26"/>
  <c r="G26" i="26"/>
  <c r="H20" i="26"/>
  <c r="G20" i="26"/>
  <c r="H18" i="26"/>
  <c r="G18" i="26"/>
  <c r="H13" i="26"/>
  <c r="G13" i="26"/>
  <c r="H121" i="22" l="1"/>
  <c r="G121" i="22"/>
  <c r="H120" i="22"/>
  <c r="G120" i="22"/>
  <c r="H119" i="22"/>
  <c r="G119" i="22"/>
  <c r="H118" i="22"/>
  <c r="G118" i="22"/>
  <c r="H117" i="22"/>
  <c r="G117" i="22"/>
  <c r="H116" i="22"/>
  <c r="G116" i="22"/>
  <c r="H115" i="22"/>
  <c r="G115" i="22"/>
  <c r="H114" i="22"/>
  <c r="G114" i="22"/>
  <c r="H113" i="22"/>
  <c r="G113" i="22"/>
  <c r="H112" i="22"/>
  <c r="G112" i="22"/>
  <c r="H111" i="22"/>
  <c r="G111" i="22"/>
  <c r="H110" i="22"/>
  <c r="G110" i="22"/>
  <c r="H109" i="22"/>
  <c r="G109" i="22"/>
  <c r="H106" i="22"/>
  <c r="G106" i="22"/>
  <c r="H105" i="22"/>
  <c r="G105" i="22"/>
  <c r="H104" i="22"/>
  <c r="G104" i="22"/>
  <c r="H103" i="22"/>
  <c r="G103" i="22"/>
  <c r="H102" i="22"/>
  <c r="G102" i="22"/>
  <c r="H101" i="22"/>
  <c r="G101" i="22"/>
  <c r="H100" i="22"/>
  <c r="G100" i="22"/>
  <c r="H99" i="22"/>
  <c r="G99" i="22"/>
  <c r="H98" i="22"/>
  <c r="G98" i="22"/>
  <c r="H97" i="22"/>
  <c r="G97" i="22"/>
  <c r="H96" i="22"/>
  <c r="G96" i="22"/>
  <c r="H95" i="22"/>
  <c r="G95" i="22"/>
  <c r="H94" i="22"/>
  <c r="G94" i="22"/>
  <c r="H93" i="22"/>
  <c r="G93" i="22"/>
  <c r="H92" i="22"/>
  <c r="G92" i="22"/>
  <c r="H91" i="22"/>
  <c r="G91" i="22"/>
  <c r="H90" i="22"/>
  <c r="G90" i="22"/>
  <c r="H89" i="22"/>
  <c r="G89" i="22"/>
  <c r="H88" i="22"/>
  <c r="G88" i="22"/>
  <c r="H87" i="22"/>
  <c r="G87" i="22"/>
  <c r="H86" i="22"/>
  <c r="G86" i="22"/>
  <c r="H85" i="22"/>
  <c r="G85" i="22"/>
  <c r="H84" i="22"/>
  <c r="G84" i="22"/>
  <c r="H82" i="22"/>
  <c r="G82" i="22"/>
  <c r="H81" i="22"/>
  <c r="G81" i="22"/>
  <c r="H80" i="22"/>
  <c r="G80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H71" i="22"/>
  <c r="G71" i="22"/>
  <c r="H70" i="22"/>
  <c r="G70" i="22"/>
  <c r="H68" i="22"/>
  <c r="G68" i="22"/>
  <c r="H67" i="22"/>
  <c r="G67" i="22"/>
  <c r="H66" i="22"/>
  <c r="G66" i="22"/>
  <c r="H65" i="22"/>
  <c r="G65" i="22"/>
  <c r="H64" i="22"/>
  <c r="G64" i="22"/>
  <c r="H63" i="22"/>
  <c r="G63" i="22"/>
  <c r="H62" i="22"/>
  <c r="G62" i="22"/>
  <c r="H61" i="22"/>
  <c r="G61" i="22"/>
  <c r="H60" i="22"/>
  <c r="G60" i="22"/>
  <c r="H59" i="22"/>
  <c r="G59" i="22"/>
  <c r="H58" i="22"/>
  <c r="G58" i="22"/>
  <c r="H57" i="22"/>
  <c r="G57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7" i="22"/>
  <c r="G47" i="22"/>
  <c r="H46" i="22"/>
  <c r="G46" i="22"/>
  <c r="H45" i="22"/>
  <c r="G45" i="22"/>
  <c r="H44" i="22"/>
  <c r="G44" i="22"/>
  <c r="H43" i="22"/>
  <c r="G43" i="22"/>
  <c r="H42" i="22"/>
  <c r="G42" i="22"/>
  <c r="H41" i="22"/>
  <c r="G41" i="22"/>
  <c r="H40" i="22"/>
  <c r="G40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0" i="22"/>
  <c r="G30" i="22"/>
  <c r="H29" i="22"/>
  <c r="G29" i="22"/>
  <c r="H28" i="22"/>
  <c r="G28" i="22"/>
  <c r="H27" i="22"/>
  <c r="G27" i="22"/>
  <c r="H26" i="22"/>
  <c r="G26" i="22"/>
  <c r="H25" i="22"/>
  <c r="G25" i="22"/>
  <c r="H21" i="22"/>
  <c r="G21" i="22"/>
  <c r="H20" i="22"/>
  <c r="G20" i="22"/>
  <c r="H19" i="22"/>
  <c r="G19" i="22"/>
  <c r="H18" i="22"/>
  <c r="G18" i="22"/>
  <c r="H17" i="22"/>
  <c r="G17" i="22"/>
  <c r="H16" i="22"/>
  <c r="G16" i="22"/>
  <c r="H15" i="22"/>
  <c r="G15" i="22"/>
  <c r="H14" i="22"/>
  <c r="G14" i="22"/>
  <c r="H13" i="22"/>
  <c r="G13" i="22"/>
  <c r="H10" i="22"/>
  <c r="G10" i="22"/>
  <c r="H9" i="22"/>
  <c r="G9" i="22"/>
  <c r="H8" i="22"/>
  <c r="G8" i="22"/>
  <c r="F53" i="14" l="1"/>
  <c r="F60" i="14" l="1"/>
  <c r="D59" i="14" l="1"/>
  <c r="D55" i="14"/>
  <c r="F69" i="22"/>
  <c r="H69" i="22" l="1"/>
  <c r="G69" i="22"/>
  <c r="F48" i="22"/>
  <c r="F33" i="22"/>
  <c r="F45" i="26"/>
  <c r="F12" i="22"/>
  <c r="F276" i="26" l="1"/>
  <c r="F269" i="26" s="1"/>
  <c r="F316" i="26"/>
  <c r="F238" i="26"/>
  <c r="F237" i="26"/>
  <c r="F236" i="26"/>
  <c r="F191" i="26"/>
  <c r="D168" i="26"/>
  <c r="F52" i="26"/>
  <c r="F64" i="26"/>
  <c r="F158" i="26"/>
  <c r="F157" i="26" s="1"/>
  <c r="F69" i="26"/>
  <c r="F57" i="26"/>
  <c r="F55" i="26"/>
  <c r="F67" i="26"/>
  <c r="F148" i="26"/>
  <c r="F147" i="26"/>
  <c r="F151" i="26"/>
  <c r="F90" i="26"/>
  <c r="F51" i="26" l="1"/>
  <c r="F50" i="26" s="1"/>
  <c r="F48" i="26" s="1"/>
  <c r="F17" i="26"/>
  <c r="F16" i="26"/>
  <c r="H16" i="26" l="1"/>
  <c r="G16" i="26"/>
  <c r="H17" i="26"/>
  <c r="G17" i="26"/>
  <c r="F168" i="26"/>
  <c r="F265" i="26" l="1"/>
  <c r="F91" i="26"/>
  <c r="F71" i="26"/>
  <c r="N14" i="26" s="1"/>
  <c r="F70" i="26"/>
  <c r="N13" i="26" s="1"/>
  <c r="F65" i="26"/>
  <c r="F113" i="26"/>
  <c r="F100" i="26"/>
  <c r="F102" i="26"/>
  <c r="F108" i="26"/>
  <c r="F105" i="26"/>
  <c r="F85" i="26"/>
  <c r="F82" i="26"/>
  <c r="F86" i="26"/>
  <c r="F66" i="26"/>
  <c r="D19" i="26" l="1"/>
  <c r="F340" i="26" l="1"/>
  <c r="N22" i="26" s="1"/>
  <c r="E191" i="26" l="1"/>
  <c r="D191" i="26"/>
  <c r="F208" i="26"/>
  <c r="F207" i="26" s="1"/>
  <c r="F202" i="26"/>
  <c r="F190" i="26" s="1"/>
  <c r="E190" i="26" l="1"/>
  <c r="E188" i="26" s="1"/>
  <c r="F294" i="26"/>
  <c r="F292" i="26"/>
  <c r="F300" i="26"/>
  <c r="F15" i="26" l="1"/>
  <c r="F25" i="26"/>
  <c r="H25" i="26" l="1"/>
  <c r="G25" i="26"/>
  <c r="G15" i="26"/>
  <c r="H15" i="26"/>
  <c r="F24" i="26"/>
  <c r="F21" i="26"/>
  <c r="F22" i="26"/>
  <c r="F23" i="26"/>
  <c r="F27" i="26"/>
  <c r="F35" i="26"/>
  <c r="F32" i="26"/>
  <c r="F31" i="26"/>
  <c r="F41" i="26"/>
  <c r="F38" i="26" l="1"/>
  <c r="H41" i="26"/>
  <c r="G41" i="26"/>
  <c r="H22" i="26"/>
  <c r="G22" i="26"/>
  <c r="N20" i="26"/>
  <c r="N33" i="26" s="1"/>
  <c r="G31" i="26"/>
  <c r="H31" i="26"/>
  <c r="G21" i="26"/>
  <c r="H21" i="26"/>
  <c r="N21" i="26"/>
  <c r="N34" i="26" s="1"/>
  <c r="H32" i="26"/>
  <c r="G32" i="26"/>
  <c r="G24" i="26"/>
  <c r="H24" i="26"/>
  <c r="F33" i="26"/>
  <c r="H35" i="26"/>
  <c r="G35" i="26"/>
  <c r="G27" i="26"/>
  <c r="H27" i="26"/>
  <c r="G23" i="26"/>
  <c r="H23" i="26"/>
  <c r="F11" i="26"/>
  <c r="F12" i="26"/>
  <c r="G12" i="26" l="1"/>
  <c r="H12" i="26"/>
  <c r="G11" i="26"/>
  <c r="H11" i="26"/>
  <c r="E108" i="22"/>
  <c r="E7" i="22"/>
  <c r="D158" i="26" l="1"/>
  <c r="D157" i="26" s="1"/>
  <c r="E158" i="26"/>
  <c r="E157" i="26" s="1"/>
  <c r="D332" i="26" l="1"/>
  <c r="D288" i="26"/>
  <c r="D296" i="26"/>
  <c r="D312" i="26"/>
  <c r="D202" i="26"/>
  <c r="D208" i="26"/>
  <c r="D207" i="26" s="1"/>
  <c r="D287" i="26" l="1"/>
  <c r="D188" i="26"/>
  <c r="F185" i="26"/>
  <c r="D185" i="26"/>
  <c r="D183" i="26" s="1"/>
  <c r="F181" i="26"/>
  <c r="D181" i="26"/>
  <c r="D180" i="26" s="1"/>
  <c r="E175" i="26"/>
  <c r="F175" i="26"/>
  <c r="D175" i="26"/>
  <c r="D174" i="26" s="1"/>
  <c r="D172" i="26" l="1"/>
  <c r="F183" i="26"/>
  <c r="D38" i="26"/>
  <c r="F312" i="26"/>
  <c r="E288" i="26"/>
  <c r="F288" i="26"/>
  <c r="E296" i="26"/>
  <c r="F296" i="26"/>
  <c r="F309" i="26"/>
  <c r="D309" i="26"/>
  <c r="D308" i="26" s="1"/>
  <c r="D285" i="26" s="1"/>
  <c r="E312" i="26"/>
  <c r="F262" i="26"/>
  <c r="F249" i="26"/>
  <c r="F248" i="26" s="1"/>
  <c r="F252" i="26"/>
  <c r="F251" i="26" s="1"/>
  <c r="F242" i="26"/>
  <c r="F241" i="26" s="1"/>
  <c r="N12" i="26" l="1"/>
  <c r="G262" i="26"/>
  <c r="H262" i="26"/>
  <c r="F308" i="26"/>
  <c r="F287" i="26"/>
  <c r="F246" i="26"/>
  <c r="D337" i="26"/>
  <c r="D340" i="26"/>
  <c r="D331" i="26"/>
  <c r="D329" i="26" s="1"/>
  <c r="D327" i="26"/>
  <c r="D326" i="26" s="1"/>
  <c r="D324" i="26" s="1"/>
  <c r="D283" i="26"/>
  <c r="D282" i="26" s="1"/>
  <c r="E278" i="26"/>
  <c r="E277" i="26" s="1"/>
  <c r="F278" i="26"/>
  <c r="F277" i="26" s="1"/>
  <c r="D278" i="26"/>
  <c r="D277" i="26" s="1"/>
  <c r="E269" i="26"/>
  <c r="D269" i="26"/>
  <c r="D262" i="26"/>
  <c r="L12" i="26" s="1"/>
  <c r="D242" i="26"/>
  <c r="D241" i="26" s="1"/>
  <c r="D239" i="26" s="1"/>
  <c r="D235" i="26"/>
  <c r="D234" i="26" s="1"/>
  <c r="D232" i="26" s="1"/>
  <c r="D230" i="26"/>
  <c r="D229" i="26" s="1"/>
  <c r="D227" i="26" s="1"/>
  <c r="D225" i="26"/>
  <c r="D224" i="26" s="1"/>
  <c r="D222" i="26" s="1"/>
  <c r="D216" i="26"/>
  <c r="D215" i="26" s="1"/>
  <c r="D213" i="26" s="1"/>
  <c r="D122" i="26"/>
  <c r="E33" i="26"/>
  <c r="D33" i="26"/>
  <c r="E19" i="26"/>
  <c r="E10" i="26"/>
  <c r="D10" i="26"/>
  <c r="D9" i="26" s="1"/>
  <c r="D339" i="26" l="1"/>
  <c r="L22" i="26"/>
  <c r="D336" i="26"/>
  <c r="L15" i="26"/>
  <c r="L35" i="26" s="1"/>
  <c r="D30" i="26"/>
  <c r="G33" i="26"/>
  <c r="H33" i="26"/>
  <c r="D261" i="26"/>
  <c r="F261" i="26"/>
  <c r="E9" i="26"/>
  <c r="F285" i="26"/>
  <c r="E122" i="26"/>
  <c r="F122" i="26"/>
  <c r="F215" i="26"/>
  <c r="D259" i="26" l="1"/>
  <c r="L11" i="26"/>
  <c r="G261" i="26"/>
  <c r="H261" i="26"/>
  <c r="D334" i="26"/>
  <c r="D7" i="26"/>
  <c r="F213" i="26"/>
  <c r="F259" i="26"/>
  <c r="D108" i="22"/>
  <c r="D83" i="22"/>
  <c r="D48" i="22"/>
  <c r="D33" i="22"/>
  <c r="C39" i="24"/>
  <c r="C6" i="24"/>
  <c r="J8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25" i="9"/>
  <c r="E24" i="9"/>
  <c r="F24" i="9"/>
  <c r="G24" i="9"/>
  <c r="H24" i="9"/>
  <c r="I24" i="9"/>
  <c r="J24" i="9"/>
  <c r="K24" i="9"/>
  <c r="L24" i="9"/>
  <c r="E7" i="9"/>
  <c r="F7" i="9"/>
  <c r="G7" i="9"/>
  <c r="H7" i="9"/>
  <c r="I7" i="9"/>
  <c r="J7" i="9"/>
  <c r="K7" i="9"/>
  <c r="L7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8" i="9"/>
  <c r="E39" i="24"/>
  <c r="E6" i="24"/>
  <c r="H259" i="26" l="1"/>
  <c r="G259" i="26"/>
  <c r="N7" i="9"/>
  <c r="E139" i="24" l="1"/>
  <c r="G139" i="24" l="1"/>
  <c r="F139" i="24"/>
  <c r="E150" i="26"/>
  <c r="D146" i="26" l="1"/>
  <c r="D130" i="26"/>
  <c r="D103" i="26"/>
  <c r="D73" i="26" l="1"/>
  <c r="D79" i="22" l="1"/>
  <c r="E79" i="22"/>
  <c r="E83" i="22"/>
  <c r="E78" i="22" l="1"/>
  <c r="D78" i="22"/>
  <c r="E92" i="14" l="1"/>
  <c r="E90" i="14"/>
  <c r="E94" i="14" s="1"/>
  <c r="D91" i="14"/>
  <c r="D92" i="14"/>
  <c r="D90" i="14"/>
  <c r="D95" i="14" l="1"/>
  <c r="F95" i="14" s="1"/>
  <c r="D94" i="14"/>
  <c r="F94" i="14" s="1"/>
  <c r="D96" i="14"/>
  <c r="F96" i="14" s="1"/>
  <c r="F91" i="14"/>
  <c r="F92" i="14"/>
  <c r="F90" i="14"/>
  <c r="F87" i="14"/>
  <c r="F88" i="14"/>
  <c r="F86" i="14"/>
  <c r="F83" i="14"/>
  <c r="F84" i="14"/>
  <c r="F82" i="14"/>
  <c r="D85" i="14"/>
  <c r="C91" i="14"/>
  <c r="C92" i="14"/>
  <c r="C90" i="14"/>
  <c r="F76" i="14" l="1"/>
  <c r="F73" i="14"/>
  <c r="F72" i="14"/>
  <c r="F67" i="14"/>
  <c r="F55" i="14"/>
  <c r="F46" i="14"/>
  <c r="F47" i="14"/>
  <c r="F48" i="14"/>
  <c r="F49" i="14"/>
  <c r="F45" i="14"/>
  <c r="C22" i="14"/>
  <c r="F239" i="26" l="1"/>
  <c r="F235" i="26" l="1"/>
  <c r="F146" i="26"/>
  <c r="H11" i="22" l="1"/>
  <c r="F79" i="22" l="1"/>
  <c r="C5" i="24" l="1"/>
  <c r="F167" i="26" l="1"/>
  <c r="F77" i="26" l="1"/>
  <c r="F74" i="26"/>
  <c r="F73" i="26" l="1"/>
  <c r="F99" i="26"/>
  <c r="N19" i="26" s="1"/>
  <c r="F174" i="26"/>
  <c r="F14" i="26"/>
  <c r="G14" i="26" l="1"/>
  <c r="H14" i="26"/>
  <c r="F188" i="26"/>
  <c r="F19" i="26"/>
  <c r="F10" i="26"/>
  <c r="H10" i="26" l="1"/>
  <c r="G10" i="26"/>
  <c r="H19" i="26"/>
  <c r="G19" i="26"/>
  <c r="F9" i="26"/>
  <c r="D167" i="26"/>
  <c r="D141" i="26"/>
  <c r="D140" i="26" s="1"/>
  <c r="D115" i="26"/>
  <c r="E45" i="26"/>
  <c r="E43" i="26" s="1"/>
  <c r="D43" i="26" l="1"/>
  <c r="L30" i="26"/>
  <c r="D145" i="26"/>
  <c r="D143" i="26" s="1"/>
  <c r="E48" i="22"/>
  <c r="C85" i="14" l="1"/>
  <c r="E89" i="14"/>
  <c r="D89" i="14"/>
  <c r="C89" i="14"/>
  <c r="F66" i="14"/>
  <c r="F59" i="14"/>
  <c r="E59" i="14"/>
  <c r="C57" i="14"/>
  <c r="F17" i="14"/>
  <c r="F18" i="14"/>
  <c r="F19" i="14"/>
  <c r="F20" i="14"/>
  <c r="F21" i="14"/>
  <c r="F23" i="14"/>
  <c r="F24" i="14"/>
  <c r="F26" i="14"/>
  <c r="F27" i="14"/>
  <c r="F28" i="14"/>
  <c r="F29" i="14"/>
  <c r="F30" i="14"/>
  <c r="F32" i="14"/>
  <c r="F33" i="14"/>
  <c r="F34" i="14"/>
  <c r="F35" i="14"/>
  <c r="F37" i="14"/>
  <c r="F38" i="14"/>
  <c r="F40" i="14"/>
  <c r="F41" i="14"/>
  <c r="F10" i="14"/>
  <c r="F11" i="14"/>
  <c r="F12" i="14"/>
  <c r="F13" i="14"/>
  <c r="F14" i="14"/>
  <c r="F8" i="14"/>
  <c r="D24" i="22" l="1"/>
  <c r="E24" i="22"/>
  <c r="D12" i="22"/>
  <c r="E336" i="26" l="1"/>
  <c r="E335" i="26" s="1"/>
  <c r="F24" i="22" l="1"/>
  <c r="F83" i="22"/>
  <c r="H24" i="22" l="1"/>
  <c r="G24" i="22"/>
  <c r="D39" i="24"/>
  <c r="F135" i="26"/>
  <c r="F150" i="26"/>
  <c r="G39" i="24" l="1"/>
  <c r="F39" i="24"/>
  <c r="F130" i="26"/>
  <c r="N16" i="26" s="1"/>
  <c r="F145" i="26"/>
  <c r="F143" i="26" s="1"/>
  <c r="F43" i="26" l="1"/>
  <c r="D249" i="26" l="1"/>
  <c r="L16" i="26" s="1"/>
  <c r="D248" i="26" l="1"/>
  <c r="E333" i="26"/>
  <c r="E174" i="26" l="1"/>
  <c r="E295" i="26"/>
  <c r="E287" i="26" l="1"/>
  <c r="M15" i="26"/>
  <c r="M35" i="26" s="1"/>
  <c r="D63" i="26"/>
  <c r="D62" i="26" l="1"/>
  <c r="E38" i="26"/>
  <c r="D252" i="26"/>
  <c r="L23" i="26" s="1"/>
  <c r="L36" i="26" s="1"/>
  <c r="H38" i="26" l="1"/>
  <c r="G38" i="26"/>
  <c r="D251" i="26"/>
  <c r="D246" i="26" s="1"/>
  <c r="D6" i="24"/>
  <c r="F339" i="26" l="1"/>
  <c r="E259" i="26"/>
  <c r="F103" i="26" l="1"/>
  <c r="N23" i="26" s="1"/>
  <c r="F337" i="26" l="1"/>
  <c r="N15" i="26" s="1"/>
  <c r="N35" i="26" s="1"/>
  <c r="F256" i="26"/>
  <c r="F63" i="26"/>
  <c r="N32" i="26" s="1"/>
  <c r="F254" i="26" l="1"/>
  <c r="F336" i="26"/>
  <c r="F334" i="26" s="1"/>
  <c r="F62" i="26"/>
  <c r="E311" i="26" l="1"/>
  <c r="E309" i="26" s="1"/>
  <c r="E308" i="26" s="1"/>
  <c r="E285" i="26" s="1"/>
  <c r="E286" i="26" l="1"/>
  <c r="E284" i="26" l="1"/>
  <c r="K86" i="9" l="1"/>
  <c r="I86" i="9"/>
  <c r="H86" i="9"/>
  <c r="G86" i="9"/>
  <c r="F86" i="9"/>
  <c r="E86" i="9"/>
  <c r="L86" i="9"/>
  <c r="J84" i="9"/>
  <c r="J86" i="9" s="1"/>
  <c r="E138" i="24"/>
  <c r="D5" i="24"/>
  <c r="E5" i="24" l="1"/>
  <c r="G138" i="24"/>
  <c r="F138" i="24"/>
  <c r="F108" i="22"/>
  <c r="F78" i="22"/>
  <c r="E33" i="22"/>
  <c r="D22" i="22"/>
  <c r="E22" i="22"/>
  <c r="F22" i="22"/>
  <c r="E12" i="22"/>
  <c r="D7" i="22"/>
  <c r="F7" i="22"/>
  <c r="E251" i="26"/>
  <c r="E248" i="26"/>
  <c r="F224" i="26"/>
  <c r="F234" i="26"/>
  <c r="F232" i="26" s="1"/>
  <c r="E224" i="26"/>
  <c r="E222" i="26" s="1"/>
  <c r="E246" i="26" l="1"/>
  <c r="H78" i="22"/>
  <c r="G78" i="22"/>
  <c r="H33" i="22"/>
  <c r="G33" i="22"/>
  <c r="D6" i="22"/>
  <c r="F6" i="22"/>
  <c r="F223" i="26"/>
  <c r="E6" i="22"/>
  <c r="M14" i="26"/>
  <c r="M34" i="26" s="1"/>
  <c r="E182" i="26"/>
  <c r="E181" i="26" s="1"/>
  <c r="E167" i="26"/>
  <c r="E146" i="26"/>
  <c r="E145" i="26" s="1"/>
  <c r="D121" i="26"/>
  <c r="E130" i="26"/>
  <c r="E73" i="26"/>
  <c r="M16" i="26" s="1"/>
  <c r="D99" i="26"/>
  <c r="L19" i="26" s="1"/>
  <c r="L32" i="26" s="1"/>
  <c r="L37" i="26" s="1"/>
  <c r="E99" i="26"/>
  <c r="E63" i="26"/>
  <c r="F30" i="26"/>
  <c r="D119" i="26" l="1"/>
  <c r="E143" i="26"/>
  <c r="M19" i="26"/>
  <c r="M32" i="26" s="1"/>
  <c r="K7" i="22"/>
  <c r="F7" i="26"/>
  <c r="E185" i="26"/>
  <c r="M11" i="26" s="1"/>
  <c r="E62" i="26"/>
  <c r="F121" i="26"/>
  <c r="E30" i="26"/>
  <c r="E121" i="26"/>
  <c r="E119" i="26" s="1"/>
  <c r="V6" i="26" l="1"/>
  <c r="N11" i="26"/>
  <c r="E183" i="26"/>
  <c r="F119" i="26"/>
  <c r="H9" i="26"/>
  <c r="E7" i="26"/>
  <c r="F89" i="14" l="1"/>
  <c r="C25" i="14"/>
  <c r="F50" i="14"/>
  <c r="E50" i="14"/>
  <c r="D50" i="14"/>
  <c r="C50" i="14"/>
  <c r="H49" i="14"/>
  <c r="G49" i="14"/>
  <c r="H48" i="14"/>
  <c r="G48" i="14"/>
  <c r="H47" i="14"/>
  <c r="G47" i="14"/>
  <c r="H46" i="14"/>
  <c r="G46" i="14"/>
  <c r="H45" i="14"/>
  <c r="G45" i="14"/>
  <c r="C81" i="14"/>
  <c r="D81" i="14"/>
  <c r="E81" i="14"/>
  <c r="F81" i="14"/>
  <c r="E85" i="14"/>
  <c r="F85" i="14"/>
  <c r="H50" i="14" l="1"/>
  <c r="G50" i="14"/>
  <c r="G6" i="24"/>
  <c r="H7" i="22" l="1"/>
  <c r="G7" i="22"/>
  <c r="H73" i="14" l="1"/>
  <c r="G73" i="14"/>
  <c r="N24" i="9" l="1"/>
  <c r="N84" i="9"/>
  <c r="N85" i="9"/>
  <c r="M7" i="9"/>
  <c r="M11" i="9"/>
  <c r="M24" i="9"/>
  <c r="M32" i="9"/>
  <c r="M84" i="9"/>
  <c r="M85" i="9"/>
  <c r="F6" i="24"/>
  <c r="H30" i="26"/>
  <c r="G9" i="26"/>
  <c r="G30" i="26"/>
  <c r="H12" i="22"/>
  <c r="G12" i="22"/>
  <c r="H22" i="22"/>
  <c r="G22" i="22"/>
  <c r="H23" i="22"/>
  <c r="H48" i="22"/>
  <c r="H56" i="22"/>
  <c r="H79" i="22"/>
  <c r="H83" i="22"/>
  <c r="H108" i="22"/>
  <c r="G11" i="22"/>
  <c r="G23" i="22"/>
  <c r="G48" i="22"/>
  <c r="G56" i="22"/>
  <c r="G79" i="22"/>
  <c r="G83" i="22"/>
  <c r="G108" i="22"/>
  <c r="D98" i="26" l="1"/>
  <c r="L18" i="26" s="1"/>
  <c r="D114" i="26"/>
  <c r="L25" i="26" s="1"/>
  <c r="F115" i="26"/>
  <c r="N30" i="26" s="1"/>
  <c r="N36" i="26" s="1"/>
  <c r="N37" i="26" s="1"/>
  <c r="E115" i="26"/>
  <c r="M30" i="26" s="1"/>
  <c r="E103" i="26"/>
  <c r="H7" i="26"/>
  <c r="G5" i="24"/>
  <c r="M86" i="9"/>
  <c r="N86" i="9"/>
  <c r="P7" i="9"/>
  <c r="G7" i="26"/>
  <c r="O7" i="9"/>
  <c r="F5" i="24"/>
  <c r="L10" i="26" l="1"/>
  <c r="M23" i="26"/>
  <c r="M36" i="26" s="1"/>
  <c r="M37" i="26" s="1"/>
  <c r="E98" i="26"/>
  <c r="M18" i="26" s="1"/>
  <c r="D60" i="26"/>
  <c r="D6" i="26" s="1"/>
  <c r="E114" i="26"/>
  <c r="M25" i="26" s="1"/>
  <c r="F98" i="26"/>
  <c r="N18" i="26" s="1"/>
  <c r="F114" i="26"/>
  <c r="N25" i="26" s="1"/>
  <c r="H71" i="14"/>
  <c r="H72" i="14"/>
  <c r="H74" i="14"/>
  <c r="H75" i="14"/>
  <c r="H76" i="14"/>
  <c r="H77" i="14"/>
  <c r="G71" i="14"/>
  <c r="G72" i="14"/>
  <c r="G74" i="14"/>
  <c r="G75" i="14"/>
  <c r="G76" i="14"/>
  <c r="G77" i="14"/>
  <c r="H53" i="14"/>
  <c r="H54" i="14"/>
  <c r="H55" i="14"/>
  <c r="H56" i="14"/>
  <c r="H58" i="14"/>
  <c r="H59" i="14"/>
  <c r="H60" i="14"/>
  <c r="H61" i="14"/>
  <c r="H62" i="14"/>
  <c r="H63" i="14"/>
  <c r="H65" i="14"/>
  <c r="H66" i="14"/>
  <c r="H67" i="14"/>
  <c r="G53" i="14"/>
  <c r="G54" i="14"/>
  <c r="G55" i="14"/>
  <c r="G56" i="14"/>
  <c r="G58" i="14"/>
  <c r="G59" i="14"/>
  <c r="G60" i="14"/>
  <c r="G61" i="14"/>
  <c r="G62" i="14"/>
  <c r="G63" i="14"/>
  <c r="G65" i="14"/>
  <c r="G66" i="14"/>
  <c r="G67" i="14"/>
  <c r="H10" i="14"/>
  <c r="H11" i="14"/>
  <c r="H12" i="14"/>
  <c r="H13" i="14"/>
  <c r="H14" i="14"/>
  <c r="H17" i="14"/>
  <c r="H18" i="14"/>
  <c r="H19" i="14"/>
  <c r="H20" i="14"/>
  <c r="H21" i="14"/>
  <c r="H23" i="14"/>
  <c r="H24" i="14"/>
  <c r="H26" i="14"/>
  <c r="H27" i="14"/>
  <c r="H28" i="14"/>
  <c r="H29" i="14"/>
  <c r="H30" i="14"/>
  <c r="H32" i="14"/>
  <c r="H33" i="14"/>
  <c r="H34" i="14"/>
  <c r="H35" i="14"/>
  <c r="H37" i="14"/>
  <c r="H38" i="14"/>
  <c r="H40" i="14"/>
  <c r="H41" i="14"/>
  <c r="N10" i="26" l="1"/>
  <c r="M10" i="26"/>
  <c r="F60" i="26"/>
  <c r="F6" i="26" s="1"/>
  <c r="E60" i="26"/>
  <c r="E6" i="26" s="1"/>
  <c r="H8" i="14"/>
  <c r="G18" i="14"/>
  <c r="G19" i="14"/>
  <c r="G20" i="14"/>
  <c r="G21" i="14"/>
  <c r="G10" i="14"/>
  <c r="G11" i="14"/>
  <c r="G12" i="14"/>
  <c r="G13" i="14"/>
  <c r="G14" i="14"/>
  <c r="G17" i="14"/>
  <c r="G23" i="14"/>
  <c r="G24" i="14"/>
  <c r="G26" i="14"/>
  <c r="G27" i="14"/>
  <c r="G28" i="14"/>
  <c r="G29" i="14"/>
  <c r="G30" i="14"/>
  <c r="G32" i="14"/>
  <c r="G33" i="14"/>
  <c r="G34" i="14"/>
  <c r="G35" i="14"/>
  <c r="G37" i="14"/>
  <c r="G38" i="14"/>
  <c r="G40" i="14"/>
  <c r="G41" i="14"/>
  <c r="G8" i="14"/>
  <c r="H6" i="26" l="1"/>
  <c r="G6" i="26"/>
  <c r="C70" i="14"/>
  <c r="D70" i="14"/>
  <c r="E70" i="14"/>
  <c r="F70" i="14"/>
  <c r="G70" i="14" l="1"/>
  <c r="H70" i="14"/>
  <c r="D57" i="14"/>
  <c r="D52" i="14"/>
  <c r="C52" i="14"/>
  <c r="D64" i="14"/>
  <c r="E64" i="14"/>
  <c r="F64" i="14"/>
  <c r="C64" i="14"/>
  <c r="E57" i="14"/>
  <c r="F57" i="14"/>
  <c r="E52" i="14"/>
  <c r="F52" i="14"/>
  <c r="E25" i="14"/>
  <c r="D22" i="14"/>
  <c r="E22" i="14"/>
  <c r="C42" i="14"/>
  <c r="E42" i="14" l="1"/>
  <c r="D42" i="14"/>
  <c r="F22" i="14"/>
  <c r="G22" i="14" s="1"/>
  <c r="G64" i="14"/>
  <c r="H64" i="14"/>
  <c r="G57" i="14"/>
  <c r="H57" i="14"/>
  <c r="G52" i="14"/>
  <c r="H52" i="14"/>
  <c r="C68" i="14"/>
  <c r="E68" i="14"/>
  <c r="D68" i="14"/>
  <c r="F68" i="14"/>
  <c r="D25" i="14"/>
  <c r="F25" i="14" s="1"/>
  <c r="H25" i="14" s="1"/>
  <c r="D16" i="14"/>
  <c r="F16" i="14" s="1"/>
  <c r="E16" i="14"/>
  <c r="C16" i="14"/>
  <c r="D9" i="14"/>
  <c r="F9" i="14" s="1"/>
  <c r="E9" i="14"/>
  <c r="C9" i="14"/>
  <c r="F42" i="14" l="1"/>
  <c r="H22" i="14"/>
  <c r="G25" i="14"/>
  <c r="C43" i="14"/>
  <c r="D43" i="14"/>
  <c r="E15" i="14"/>
  <c r="E31" i="14" s="1"/>
  <c r="E43" i="14"/>
  <c r="G42" i="14"/>
  <c r="H42" i="14"/>
  <c r="H9" i="14"/>
  <c r="H16" i="14"/>
  <c r="G68" i="14"/>
  <c r="H68" i="14"/>
  <c r="G9" i="14"/>
  <c r="G16" i="14"/>
  <c r="F43" i="14" l="1"/>
  <c r="E36" i="14"/>
  <c r="E39" i="14" s="1"/>
  <c r="G43" i="14"/>
  <c r="H43" i="14"/>
  <c r="D15" i="14" l="1"/>
  <c r="D31" i="14" l="1"/>
  <c r="F31" i="14" s="1"/>
  <c r="F15" i="14"/>
  <c r="C15" i="14"/>
  <c r="D36" i="14" l="1"/>
  <c r="D39" i="14" s="1"/>
  <c r="F39" i="14" s="1"/>
  <c r="G15" i="14"/>
  <c r="H15" i="14"/>
  <c r="G31" i="14"/>
  <c r="H31" i="14"/>
  <c r="C31" i="14"/>
  <c r="C36" i="14" s="1"/>
  <c r="C39" i="14" s="1"/>
  <c r="F36" i="14" l="1"/>
  <c r="H36" i="14" s="1"/>
  <c r="H39" i="14"/>
  <c r="G39" i="14"/>
  <c r="G36" i="14" l="1"/>
</calcChain>
</file>

<file path=xl/sharedStrings.xml><?xml version="1.0" encoding="utf-8"?>
<sst xmlns="http://schemas.openxmlformats.org/spreadsheetml/2006/main" count="1075" uniqueCount="559">
  <si>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</si>
  <si>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</si>
  <si>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</si>
  <si>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</si>
  <si>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</si>
  <si>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</si>
  <si>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</si>
  <si>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</si>
  <si>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№ з/п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</si>
  <si>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</si>
  <si>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</si>
  <si>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</si>
  <si>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</si>
  <si>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</si>
  <si>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</si>
  <si>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</si>
  <si>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</si>
  <si>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</si>
  <si>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Основні фінансові показники</t>
  </si>
  <si>
    <t>Капітальні інвестиції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</si>
  <si>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</si>
  <si>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</si>
  <si>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</si>
  <si>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</si>
  <si>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</si>
  <si>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</si>
  <si>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</si>
  <si>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</si>
  <si>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</si>
  <si>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</si>
  <si>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</si>
  <si>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</si>
  <si>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</si>
  <si>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</si>
  <si>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</si>
  <si>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</si>
  <si>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</si>
  <si>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</si>
  <si>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податок на прибуток підприємств</t>
  </si>
  <si>
    <t>капітальний ремонт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</si>
  <si>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</si>
  <si>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</si>
  <si>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</si>
  <si>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</si>
  <si>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</si>
  <si>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</si>
  <si>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</si>
  <si>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</si>
  <si>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</si>
  <si>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</si>
  <si>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</si>
  <si>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</si>
  <si>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</si>
  <si>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</si>
  <si>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</si>
  <si>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</si>
  <si>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</si>
  <si>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</si>
  <si>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</si>
  <si>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</si>
  <si>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</si>
  <si>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</si>
  <si>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</si>
  <si>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</si>
  <si>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тис. грн</t>
  </si>
  <si>
    <t xml:space="preserve">                   (підпис)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</si>
  <si>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</si>
  <si>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</si>
  <si>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</si>
  <si>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</si>
  <si>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</si>
  <si>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</si>
  <si>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</si>
  <si>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</si>
  <si>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</si>
  <si>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</si>
  <si>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</si>
  <si>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</si>
  <si>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Собівартість реалізованої продукції (товарів, робіт, послуг),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</si>
  <si>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</si>
  <si>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</si>
  <si>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</si>
  <si>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</si>
  <si>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</si>
  <si>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</si>
  <si>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</si>
  <si>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</si>
  <si>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</si>
  <si>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</si>
  <si>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</si>
  <si>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</si>
  <si>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</si>
  <si>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</si>
  <si>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</si>
  <si>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Придбання (виготовлення) основних засобів, усього, у т.ч.:</t>
  </si>
  <si>
    <t>Придбання (виготовлення) інших необоротних матеріальних активів, усього, у т.ч.:</t>
  </si>
  <si>
    <t>Капітальний ремонт, усього, у т.ч.:</t>
  </si>
  <si>
    <t>Інші витрати, усього, у т.ч.:</t>
  </si>
  <si>
    <t>Розділ І. Формування фінансових результатів</t>
  </si>
  <si>
    <t>Розділ IІ. Розрахунки з бюджетом</t>
  </si>
  <si>
    <t>Розділ IV. Капітальні інвестиції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</si>
  <si>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</si>
  <si>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</si>
  <si>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IV. "Капітальні інвестиції"</t>
  </si>
  <si>
    <t>3.</t>
  </si>
  <si>
    <t>4.</t>
  </si>
  <si>
    <t>Матеріальні витрати, усього, у т.ч.: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</si>
  <si>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</si>
  <si>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</si>
  <si>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</si>
  <si>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</si>
  <si>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</si>
  <si>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</si>
  <si>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</si>
  <si>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 +,-</t>
  </si>
  <si>
    <t>Відхилення, %</t>
  </si>
  <si>
    <t>Усього доходів</t>
  </si>
  <si>
    <t>Усього видатків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</si>
  <si>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</si>
  <si>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</si>
  <si>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Інші операційні витрати: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</si>
  <si>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</si>
  <si>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</si>
  <si>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</si>
  <si>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</si>
  <si>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</si>
  <si>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</si>
  <si>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</si>
  <si>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</si>
  <si>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</si>
  <si>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х</t>
  </si>
  <si>
    <t>Елементи операційних витрат:</t>
  </si>
  <si>
    <t>Залучення кредитних коштів</t>
  </si>
  <si>
    <t>Бюджетне фінансування</t>
  </si>
  <si>
    <t>Власні кошти</t>
  </si>
  <si>
    <t>Інші джерела (розшифрувати)</t>
  </si>
  <si>
    <t>Усього:</t>
  </si>
  <si>
    <t xml:space="preserve">Нараховані до сплати податки та збори до Державного бюджету України (податкові платежі) </t>
  </si>
  <si>
    <t>1.1.1</t>
  </si>
  <si>
    <t xml:space="preserve">медикаменти та перев'язувальні матеріали </t>
  </si>
  <si>
    <t>харчування</t>
  </si>
  <si>
    <t>витрати на сировину для молочної кухні</t>
  </si>
  <si>
    <t>1.1.2</t>
  </si>
  <si>
    <t>1.1.3</t>
  </si>
  <si>
    <t>1.1.4</t>
  </si>
  <si>
    <t>1.1.5</t>
  </si>
  <si>
    <t>Інші витрати, усього, у тому числі:</t>
  </si>
  <si>
    <t>наркопрофогляд, медогляд</t>
  </si>
  <si>
    <t>гістологічні дослідження</t>
  </si>
  <si>
    <t>скринінгові дослідження новонароджених</t>
  </si>
  <si>
    <t>дослідження на ВІЛ</t>
  </si>
  <si>
    <t>бактеріологічні дослідження</t>
  </si>
  <si>
    <t xml:space="preserve">ремонт та технічне обслуговування медичного обладнання </t>
  </si>
  <si>
    <t>повірка медичного обладнання</t>
  </si>
  <si>
    <t>технічне обслуговування та ремонт ліфтів</t>
  </si>
  <si>
    <t>телекомунікаційні послуги</t>
  </si>
  <si>
    <t>1.2.2</t>
  </si>
  <si>
    <t>1.2.3</t>
  </si>
  <si>
    <t>1.2.5</t>
  </si>
  <si>
    <t>Інші адмінінстративні витрати, усього, у тому числі</t>
  </si>
  <si>
    <t>супровід програмного забезпечення, медіа-супровід, обслуговування сайту, кваліфікований електронний підпис</t>
  </si>
  <si>
    <t xml:space="preserve">охоронна сигналізація </t>
  </si>
  <si>
    <t>1.3.2</t>
  </si>
  <si>
    <t>1.3.3</t>
  </si>
  <si>
    <t>господарські товари, техн. засоби, електрозберігаючі лампочки,  будівельні матеріали, засоби для прибирання та гігієни</t>
  </si>
  <si>
    <t>канцтовари, періодичні видання, бланки, журнали</t>
  </si>
  <si>
    <t>дозометричний контроль</t>
  </si>
  <si>
    <t xml:space="preserve">ремонт та технічне обслуговування немедичного обладнання </t>
  </si>
  <si>
    <t>ремонт та технічне обслуговування ПК та оргтехніки</t>
  </si>
  <si>
    <t>ремонт приміщень</t>
  </si>
  <si>
    <t>супровід програмного забезпечення, медіа-супровід, обслуговування сайту, КЕП</t>
  </si>
  <si>
    <t>страхування цивільної відповідальності власників транспортних засобів</t>
  </si>
  <si>
    <t>утилізація, дезінфекція, дезінсекція</t>
  </si>
  <si>
    <t xml:space="preserve">поповнення смарт-карток для проїзду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</si>
  <si>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</si>
  <si>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</si>
  <si>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</si>
  <si>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вивіз сміття</t>
  </si>
  <si>
    <t>послуги з навчання</t>
  </si>
  <si>
    <t>Інші  адміністративні витрати, усього, у тому числі:</t>
  </si>
  <si>
    <t xml:space="preserve">За рахунок коштів отриманих від реалізації продукції молочної кухні </t>
  </si>
  <si>
    <t>паливно-мастильні матеріали</t>
  </si>
  <si>
    <t>Інші витрати, у сього, у т.ч.:</t>
  </si>
  <si>
    <t>ремонт та технічне обслуговування немедичного обладнання</t>
  </si>
  <si>
    <t>страхування цивільно-правової відповідальності власників транспортних засобів</t>
  </si>
  <si>
    <t>Інші  витрати, усього, у т.ч.:</t>
  </si>
  <si>
    <t>7.</t>
  </si>
  <si>
    <t>8.</t>
  </si>
  <si>
    <t>витратні матеріали для хворих, що знаходяться на лікуванні у відділенні анестезіології  2019-n CoV</t>
  </si>
  <si>
    <t>витратні матеріали для хворих на цукровий діабет</t>
  </si>
  <si>
    <t>медикаменти 2019-n CoV, предмети матеріали обладнання (в т.ч. медичного) та інвентарю</t>
  </si>
  <si>
    <t>програма "СТОП ГРИП"</t>
  </si>
  <si>
    <t xml:space="preserve">хімреактиви, реагенти, тощо </t>
  </si>
  <si>
    <t xml:space="preserve">оплата електроенергії </t>
  </si>
  <si>
    <t xml:space="preserve">вивіз  сміття </t>
  </si>
  <si>
    <t>9.</t>
  </si>
  <si>
    <t>Кошти, отримані від реалізації в установленому порядку майна (крім нерухомого майна)</t>
  </si>
  <si>
    <t>9.1.</t>
  </si>
  <si>
    <t>9.1.1.</t>
  </si>
  <si>
    <t>10.</t>
  </si>
  <si>
    <t>Кошти орендарів (енергоносії)</t>
  </si>
  <si>
    <t>Надходження від відсотків за залишками коштів на депозитних рахунках</t>
  </si>
  <si>
    <t>ремонт та технічне обслуговування медичного обладнання</t>
  </si>
  <si>
    <t>банківські послуги</t>
  </si>
  <si>
    <t>Володимир ПРИСЯЖНЮК</t>
  </si>
  <si>
    <t>кошти державного бюджету від Національної служби здоров'я України</t>
  </si>
  <si>
    <t>кошти від реалізації продукції молочної кухні</t>
  </si>
  <si>
    <t>кошти медичної субвенції з державного бюджету за рахунок залишку запасів минулих періодів</t>
  </si>
  <si>
    <r>
      <t xml:space="preserve">кошти державного бюджету </t>
    </r>
    <r>
      <rPr>
        <i/>
        <sz val="14"/>
        <rFont val="Times New Roman"/>
        <family val="1"/>
        <charset val="204"/>
      </rPr>
      <t>(відшкодування лікарям-інтернам за проходження інтернатури</t>
    </r>
    <r>
      <rPr>
        <sz val="14"/>
        <rFont val="Times New Roman"/>
        <family val="1"/>
        <charset val="204"/>
      </rPr>
      <t>)</t>
    </r>
  </si>
  <si>
    <t>кошти, отримані від реалізації в установленому порядку майна (крім нерухомого майна)</t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</si>
  <si>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</si>
  <si>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благодійна допомога в грошовому еквіваленті</t>
  </si>
  <si>
    <t>благодійна допомога в натуральній формі</t>
  </si>
  <si>
    <t>дохід від курсової різниці на залишок коштів валютного рахунку</t>
  </si>
  <si>
    <t>надходження від відсотків за залишками коштів на депозитних рахунках</t>
  </si>
  <si>
    <t>медикаменти та перев'язувальні матеріали</t>
  </si>
  <si>
    <t>господарські товари, технічні засоби, енергозберігаючі лампочки,  будівельні матеріали, засоби для прибирання та гігієни</t>
  </si>
  <si>
    <t>ремонт та технічне обслуговування ліфтів</t>
  </si>
  <si>
    <t xml:space="preserve">ремонт приміщень </t>
  </si>
  <si>
    <t>ремонт та технінче обслуговування ПК та оргтехніки</t>
  </si>
  <si>
    <t>ПДВ</t>
  </si>
  <si>
    <t xml:space="preserve">пільгова пенсія </t>
  </si>
  <si>
    <t xml:space="preserve">Холодильна шафа ХШВ Shine (2 шт)                  </t>
  </si>
  <si>
    <t xml:space="preserve">Генератор Covidian </t>
  </si>
  <si>
    <t>Капітальний ремонт приміщень четвертого поверху пологового будинку міської лікарні «Центр матері та дитини» за адресою: Україна, м. Вінниця, вул. Маяковського, 138</t>
  </si>
  <si>
    <t>12.</t>
  </si>
  <si>
    <t>Благодійна допомога в натуральній формі</t>
  </si>
  <si>
    <t xml:space="preserve">канцтовари, періодичні видання </t>
  </si>
  <si>
    <t>супровід програмного забезпечення, медіа-супровід, обслуговування сайту,кваліфікований електронний підпис</t>
  </si>
  <si>
    <t>13.</t>
  </si>
  <si>
    <t xml:space="preserve">Благодійна допомога в грошовому еквіваленті </t>
  </si>
  <si>
    <t>13.1.</t>
  </si>
  <si>
    <t>13.1.1.</t>
  </si>
  <si>
    <t xml:space="preserve">медикаменти та перевязувальні матеріали </t>
  </si>
  <si>
    <t xml:space="preserve">ремонт та технічне облсуговування ліфтів </t>
  </si>
  <si>
    <t xml:space="preserve">пенсія </t>
  </si>
  <si>
    <t xml:space="preserve">послуги  з навчання </t>
  </si>
  <si>
    <t>17.</t>
  </si>
  <si>
    <t>Нарахування амортизації на безоплатно отримані активи, усього, у т.ч.:</t>
  </si>
  <si>
    <t>17.1.</t>
  </si>
  <si>
    <t>17.1.1.</t>
  </si>
  <si>
    <t>нарахування амортизації на безоплатно отримані активи</t>
  </si>
  <si>
    <t>17.2.</t>
  </si>
  <si>
    <t>17.2.1.</t>
  </si>
  <si>
    <t>18.</t>
  </si>
  <si>
    <t>18.1.</t>
  </si>
  <si>
    <t>18.1.1.</t>
  </si>
  <si>
    <t>металобрухт</t>
  </si>
  <si>
    <t>5.</t>
  </si>
  <si>
    <t>5.1.</t>
  </si>
  <si>
    <t>5.1.1.</t>
  </si>
  <si>
    <t>Кошти медичної субвенції з державного бюджету, за рахунок запасів минулих періодів</t>
  </si>
  <si>
    <t xml:space="preserve"> </t>
  </si>
  <si>
    <t>Кошти бюджету ВМТГ</t>
  </si>
  <si>
    <t>інформаційно-консультаційні послуги</t>
  </si>
  <si>
    <t xml:space="preserve">Вертикальний підйомник для інвалідів та інших мало мобільних груп населення    </t>
  </si>
  <si>
    <t>Вентилятор побутовий 100С1, 94м3/год Домовент(2шт)</t>
  </si>
  <si>
    <t>Гігрометр ВІТ-Ш-2(+16+40С)ТУ З України 14307481.001-92 УКТЗЕД 9025808010(5 шт)</t>
  </si>
  <si>
    <t>паливно-мастильні метеріали</t>
  </si>
  <si>
    <t xml:space="preserve">науково-технічні роботи </t>
  </si>
  <si>
    <t xml:space="preserve">оцінка майна </t>
  </si>
  <si>
    <t xml:space="preserve">ремонт та технічне обслуговування авто </t>
  </si>
  <si>
    <t>публікація в газеті</t>
  </si>
  <si>
    <t>19.</t>
  </si>
  <si>
    <t>Дохід від курсової різниці на залишок коштів валютного рахунку</t>
  </si>
  <si>
    <t>19.1.1</t>
  </si>
  <si>
    <t>курсова різниця</t>
  </si>
  <si>
    <t xml:space="preserve">лікарняні листи </t>
  </si>
  <si>
    <t>Кошти державного бюджету від Національної служби здоров'я України за рахунок залишку коштів на рахунок</t>
  </si>
  <si>
    <t>Кошти від надання послуг з медичної діяльності, відшкодування від страхової компанії</t>
  </si>
  <si>
    <t>пенсія</t>
  </si>
  <si>
    <t xml:space="preserve">публікація в газеті </t>
  </si>
  <si>
    <t xml:space="preserve">курсова різниця </t>
  </si>
  <si>
    <t>кошти від надання послуг з  медичної діяльності, відшкодування від страхової компанії</t>
  </si>
  <si>
    <t>дохід від оприбуткування вторсировини (металобрухт, медичних відходів)</t>
  </si>
  <si>
    <t>Дохід від оприбуткування вторсировини (металобрухт, медичних відходів)</t>
  </si>
  <si>
    <t>профвнески</t>
  </si>
  <si>
    <t xml:space="preserve">кошти Вінницької міської обєднаної територіальної громади (ВМТГ) за рахунок запасів минулих періодів </t>
  </si>
  <si>
    <t xml:space="preserve">запчастини до медичного обладнання, основних засобів, інших необоротних активів та інші необоротні матеріальні активи </t>
  </si>
  <si>
    <t xml:space="preserve">страхування майна </t>
  </si>
  <si>
    <t>експертний висновок (доступність будівель)</t>
  </si>
  <si>
    <t>фотозйомка для Google Map</t>
  </si>
  <si>
    <t xml:space="preserve">ліцензія </t>
  </si>
  <si>
    <t xml:space="preserve">ремонт та технічне обслуговування ліфтів </t>
  </si>
  <si>
    <t xml:space="preserve">відключення від системи газопостачання </t>
  </si>
  <si>
    <t xml:space="preserve">експертний висновок </t>
  </si>
  <si>
    <t xml:space="preserve">земельний податок </t>
  </si>
  <si>
    <t xml:space="preserve">послуги з захоронення мертвонародженого плоду </t>
  </si>
  <si>
    <t xml:space="preserve">харчування </t>
  </si>
  <si>
    <t>фотозйомка Google Map</t>
  </si>
  <si>
    <t xml:space="preserve">супровід програмного зебезпечення, медіа-супровід, обслуговування сайту, кваліфікований електронний підпис </t>
  </si>
  <si>
    <t xml:space="preserve">проведення наглядового аудиту сертифікації управління якістю </t>
  </si>
  <si>
    <t xml:space="preserve">оцінка приміщень/обладнання </t>
  </si>
  <si>
    <t xml:space="preserve">Кошти, отримані від реалізації в установленому порядку майна (крім нерухомого майна)за рахунок минулих періодів </t>
  </si>
  <si>
    <t xml:space="preserve">вивіз сміття </t>
  </si>
  <si>
    <t>насос шприцевий BeneFusion (5 шт)</t>
  </si>
  <si>
    <t xml:space="preserve">шафа з вітриною 2,3*2,4*0,5          </t>
  </si>
  <si>
    <t xml:space="preserve">шафа універсальна 2-х секційна 2,0*1,0*0,45    </t>
  </si>
  <si>
    <t xml:space="preserve">шафа 2,3*1,05*0,6   </t>
  </si>
  <si>
    <t>шафа 2,3*1,2*0,6</t>
  </si>
  <si>
    <t xml:space="preserve">джерело безперебійного живлення Powercom Macan MAC OnLine                                </t>
  </si>
  <si>
    <t>шафа</t>
  </si>
  <si>
    <t xml:space="preserve">кухня ДСП з стіновою панеллю  </t>
  </si>
  <si>
    <t xml:space="preserve">кухонний гарнітур (стільниці з тумбами та мийками) </t>
  </si>
  <si>
    <t xml:space="preserve">апарат електрохірургічний "Фотек"     </t>
  </si>
  <si>
    <t xml:space="preserve">кольпоскоп МК-300 з відеосистемою       </t>
  </si>
  <si>
    <t xml:space="preserve">дозатор механічний одноканальний Proline 20-200 мкл.       </t>
  </si>
  <si>
    <t xml:space="preserve">стіл зі стільниці                                                                                                                                                                                       </t>
  </si>
  <si>
    <t xml:space="preserve">комплект: тумба з умивальником, дзеркало  </t>
  </si>
  <si>
    <t>ліжко 0,9*2,0 з каркасом металевий з ніжками (6 шт)</t>
  </si>
  <si>
    <t>матрац пружиний 0,9*2,0   (6 шт)</t>
  </si>
  <si>
    <t xml:space="preserve">мийка 0,57*0,445   </t>
  </si>
  <si>
    <t xml:space="preserve">стелаж трирівневий 1500*1000 з н/ж сталі       </t>
  </si>
  <si>
    <t xml:space="preserve">блендер BPAUN MQ5237BK  </t>
  </si>
  <si>
    <t xml:space="preserve">електрочайник Grunhelm                               </t>
  </si>
  <si>
    <t xml:space="preserve">мікрохвильова піч Delfa AMW-20MB (2 шт)       </t>
  </si>
  <si>
    <t xml:space="preserve">пульт електронний для керування блоком тенів 7500Вт 3*400 в  </t>
  </si>
  <si>
    <t xml:space="preserve">тканеві ролети беста-міні (10 шт)    </t>
  </si>
  <si>
    <t xml:space="preserve">вертикальні жалюзі                                                                                                                                                                                      </t>
  </si>
  <si>
    <t>інформаційний стенд (6 шт)</t>
  </si>
  <si>
    <t xml:space="preserve">принтер А4 Epson 1-Series </t>
  </si>
  <si>
    <t xml:space="preserve">детектор індивідуального моніторингу ДТГ-4 (ДТУ)  </t>
  </si>
  <si>
    <t xml:space="preserve">вогнегасник ВП-5  (4 шт)        </t>
  </si>
  <si>
    <t xml:space="preserve">пральна машина Indesit IWUC 40851    </t>
  </si>
  <si>
    <t xml:space="preserve">бактерицидна лампа Bactosfera OBB 15                  </t>
  </si>
  <si>
    <t xml:space="preserve">компресорний небулайзер     </t>
  </si>
  <si>
    <t>тонометр педіатричний з трьома манжетами Little Doctor LD 80</t>
  </si>
  <si>
    <t xml:space="preserve">ваги електронні для новонароджених Momert 6475        </t>
  </si>
  <si>
    <t>відбійник</t>
  </si>
  <si>
    <t>пральна машина Indesit E2SC 2160 W UA</t>
  </si>
  <si>
    <t xml:space="preserve">ліжко лікарняне б/в           </t>
  </si>
  <si>
    <t xml:space="preserve">матрац Ех-2 0,8*1,9                           </t>
  </si>
  <si>
    <t xml:space="preserve">електрочайник Philips 1,5л 240 Вт </t>
  </si>
  <si>
    <t xml:space="preserve">електрочайник Holmer HKS (Скло) </t>
  </si>
  <si>
    <t xml:space="preserve">електричний чайник Grunhelm (3 шт)   </t>
  </si>
  <si>
    <t>мікрохвильова піч Delfa AMW-20MB (3 шт)</t>
  </si>
  <si>
    <t xml:space="preserve">холодильник Delfa (white 89*49.5*46.5 см) (3 шт)   </t>
  </si>
  <si>
    <t>стілець Аскона (чорний)  (10 шт)</t>
  </si>
  <si>
    <t xml:space="preserve">тумба приліжкова 0,6*0,5*0,6    (4шт)                               </t>
  </si>
  <si>
    <t>тумба приліжкова 0,67/0,6*0,5 (2 шт)</t>
  </si>
  <si>
    <t>балон для аргону   (3 шт)</t>
  </si>
  <si>
    <t>Інфузійний насос, aitecs DF-12M Open System (2 шт)</t>
  </si>
  <si>
    <t xml:space="preserve">Дефібрилятор Cardiolife TEC-5621, monitoring + manual/AED    </t>
  </si>
  <si>
    <t xml:space="preserve">Монітор пацієнта uMEC 10        </t>
  </si>
  <si>
    <t xml:space="preserve">STARLINK    </t>
  </si>
  <si>
    <t xml:space="preserve">Ковдра </t>
  </si>
  <si>
    <t xml:space="preserve">Товари для немовлят (комплекти)                  </t>
  </si>
  <si>
    <t xml:space="preserve">Одяг дитячий  </t>
  </si>
  <si>
    <t xml:space="preserve">Пульсоксиметр РМ-60  </t>
  </si>
  <si>
    <t xml:space="preserve">Датчик SpO2 512H для дітей багаторазовий до пульсоксиметра                                                                                                                                              </t>
  </si>
  <si>
    <t xml:space="preserve">Відсмоктувач медичний "Біомед",модель 7Е-В                                                                                                                                                              </t>
  </si>
  <si>
    <t>Пульсоксиметр РМ-60  (2 шт)</t>
  </si>
  <si>
    <t xml:space="preserve">Відсмоктувач медичний "Біомед",модель 7Е-В  (4 шт)                                                                                                                                                            </t>
  </si>
  <si>
    <t>Холодильна шафа ХШВ Shine</t>
  </si>
  <si>
    <t>відшкодування коштів (згідно акту за результатами ревізії,  актів звірки та відшкодування оцінки майна )</t>
  </si>
  <si>
    <t xml:space="preserve">дохід від надання майна в оренду </t>
  </si>
  <si>
    <t>сурфактанти (куросурфи)</t>
  </si>
  <si>
    <t xml:space="preserve">Лічильник СЛ-1 лабараторний механічний </t>
  </si>
  <si>
    <t xml:space="preserve">JH-2001-36 (KCK-18) Коробка для стерилізації Schimmelbusch, 390*190мм                                                                                                                                   </t>
  </si>
  <si>
    <t xml:space="preserve">Штатив ШДВ-5Н-К </t>
  </si>
  <si>
    <t xml:space="preserve">Штатив ШДВ-5Р-К </t>
  </si>
  <si>
    <t xml:space="preserve">Апарат штучної вентиляції легенів Babylog 8000     </t>
  </si>
  <si>
    <t xml:space="preserve">Апарат штучної вентиляції легенів Babylog 8000 (2 шт)    </t>
  </si>
  <si>
    <t xml:space="preserve">Інкубатор для новонароджених Isolette C 2000        </t>
  </si>
  <si>
    <t xml:space="preserve">Монітор фетальний Sonicaid TEAM DUO      </t>
  </si>
  <si>
    <t xml:space="preserve">Датчик S4-2 зі встановленою опцією для кардіологічних досліджень  </t>
  </si>
  <si>
    <t xml:space="preserve">Подушки дитячі </t>
  </si>
  <si>
    <t xml:space="preserve">Ковдра дитяча        </t>
  </si>
  <si>
    <t xml:space="preserve">Пульсоксиметр на два параметри   </t>
  </si>
  <si>
    <t xml:space="preserve">Система телемедицини для вагітних         </t>
  </si>
  <si>
    <t>20.</t>
  </si>
  <si>
    <t xml:space="preserve">Кошти орендарів (енергоносії) за рахунок запасів минулих періодів 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</si>
  <si>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</si>
  <si>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>2.1.</t>
  </si>
  <si>
    <t>2.1.2.</t>
  </si>
  <si>
    <t>2.1.3.</t>
  </si>
  <si>
    <t>3.1.</t>
  </si>
  <si>
    <t>4.1.</t>
  </si>
  <si>
    <t>4.1.2.</t>
  </si>
  <si>
    <t>4.1.3.</t>
  </si>
  <si>
    <t>4.2.</t>
  </si>
  <si>
    <t>4.2.1.</t>
  </si>
  <si>
    <t>5.1.2.</t>
  </si>
  <si>
    <t>5.2.</t>
  </si>
  <si>
    <t>5.2.1.</t>
  </si>
  <si>
    <t>6.</t>
  </si>
  <si>
    <t>6.1.</t>
  </si>
  <si>
    <t>6.1.1.</t>
  </si>
  <si>
    <t>10.1.</t>
  </si>
  <si>
    <t>10.1.1.</t>
  </si>
  <si>
    <t>11.1.1.</t>
  </si>
  <si>
    <t>12.1.</t>
  </si>
  <si>
    <t>12.1.1.</t>
  </si>
  <si>
    <t>15.</t>
  </si>
  <si>
    <t>15.1.</t>
  </si>
  <si>
    <t>15.1.1.</t>
  </si>
  <si>
    <t>15.2.</t>
  </si>
  <si>
    <t>15.2.1.</t>
  </si>
  <si>
    <t>16.</t>
  </si>
  <si>
    <t>16.1.</t>
  </si>
  <si>
    <t>16.1.1.</t>
  </si>
  <si>
    <t>17.1.2.</t>
  </si>
  <si>
    <t>17.3.</t>
  </si>
  <si>
    <t>17.3.1.</t>
  </si>
  <si>
    <t>18.1.2.</t>
  </si>
  <si>
    <t>18.1.3.</t>
  </si>
  <si>
    <t>18.2.</t>
  </si>
  <si>
    <t>18.2.1.</t>
  </si>
  <si>
    <t>18.2.2.</t>
  </si>
  <si>
    <t>21.</t>
  </si>
  <si>
    <t>Факт                   за 9 місяців 2021 року</t>
  </si>
  <si>
    <t>План 
на 9 місяців 2022 року</t>
  </si>
  <si>
    <t>Факт 
за 9 місяців 2022 року</t>
  </si>
  <si>
    <t>план 
на 9 місяців 2022 року</t>
  </si>
  <si>
    <t>факт 
за 9 місяців  2022 року</t>
  </si>
  <si>
    <t>за 9 місяців 2021 року</t>
  </si>
  <si>
    <t>за 9 місяців 2022 року</t>
  </si>
  <si>
    <t>запчастини до медичного обладнання</t>
  </si>
  <si>
    <t>ліцензія</t>
  </si>
  <si>
    <t xml:space="preserve">супровід програмного забезпечення, медіа-супровід, обслуговування сайту </t>
  </si>
  <si>
    <t xml:space="preserve">Кошти бюджету ВМТГ за рахунок запасів минулих періодів </t>
  </si>
  <si>
    <t xml:space="preserve">інші необортні матеріальні активи та запчастини до медичного обладнання, основних засобів та інших необорних матеріальних активів </t>
  </si>
  <si>
    <t xml:space="preserve">Дохід від оприбуткування вторсировини (металобрухт, медичних відходів) за рахунок залишку запасів минулих періодів </t>
  </si>
  <si>
    <t xml:space="preserve">основні засоби та інші необоротні матеріальні активи, запчастини до медичного обладнання, основних засобів та інших необоротних матеріальних активів </t>
  </si>
  <si>
    <t xml:space="preserve">Ноутбук Dell Latitude 3420 FHD i5 16G RAM, 512GO SSD, 4 cell battery, fingerprint reader </t>
  </si>
  <si>
    <t xml:space="preserve">Дефiбрилятор   </t>
  </si>
  <si>
    <t xml:space="preserve">Апарат УЗД з набором датчиків Ultrasound Versana Active                                                                                                                                                 </t>
  </si>
  <si>
    <t xml:space="preserve">Посібник англійська, іспанська, французька       </t>
  </si>
  <si>
    <t>Посібник англійська, французька</t>
  </si>
  <si>
    <t xml:space="preserve">Вентилятор підлоговий HausMark HSFM-1625WH/RC        </t>
  </si>
  <si>
    <t xml:space="preserve">Накопичувач HDD Seagate 1TB USB 3.0 2.5" Bacis (STJL1000400) Black                                                                                                                </t>
  </si>
  <si>
    <t xml:space="preserve">Мегафон (гучномовець)    </t>
  </si>
  <si>
    <t xml:space="preserve">Радіоприймач      </t>
  </si>
  <si>
    <t xml:space="preserve">Вогнегасник ВВК-1,4 плоске дно з кронштейнами     </t>
  </si>
  <si>
    <t xml:space="preserve">Монітор 21.5" LG 22EA430V-B           </t>
  </si>
  <si>
    <t xml:space="preserve">Холодильник AOV ACB-264SL., PQS E004/023      </t>
  </si>
  <si>
    <t>Носій вакцини UIFF AOV AFVC46 E004/050</t>
  </si>
  <si>
    <t xml:space="preserve">Генератор        </t>
  </si>
  <si>
    <t xml:space="preserve">Системний блок              </t>
  </si>
  <si>
    <t xml:space="preserve">Комплекс з погружним дренажним насосом та накопичувальною ємністю                                                                                                                                       </t>
  </si>
  <si>
    <t xml:space="preserve">Система рекуператор PRANA 200 з витяжним вентилятором     </t>
  </si>
  <si>
    <t xml:space="preserve">Ходулі для дорослих              </t>
  </si>
  <si>
    <t>Ходулі для дітей</t>
  </si>
  <si>
    <t xml:space="preserve">Візок складний        </t>
  </si>
  <si>
    <t>Трансформер жовтий (б/в)</t>
  </si>
  <si>
    <t xml:space="preserve">Кисневий концентратор (б/в)       </t>
  </si>
  <si>
    <t xml:space="preserve">Система розеток корпусних кисневих газових     </t>
  </si>
  <si>
    <t xml:space="preserve">Матрас комфорт 90х190 см      </t>
  </si>
  <si>
    <t xml:space="preserve">Інвалідні крісла-коляски SOPUR ALLROUND  </t>
  </si>
  <si>
    <t xml:space="preserve">Інвалідні крісла-коляски DAAO Bock  </t>
  </si>
  <si>
    <t xml:space="preserve">Стілець металевий без спинки         </t>
  </si>
  <si>
    <t xml:space="preserve">Ліжко дитяче функціональне з матрацом    </t>
  </si>
  <si>
    <t xml:space="preserve">Ліжко функціональне з матрацом          </t>
  </si>
  <si>
    <t xml:space="preserve">Манеж дитячий      </t>
  </si>
  <si>
    <t xml:space="preserve">Кювез дитячий з підігрівом Babytherm 4200    </t>
  </si>
  <si>
    <t xml:space="preserve">Кювез дитячий з підігрівом M/WEYER      </t>
  </si>
  <si>
    <t xml:space="preserve">Неонатальний інкубатор з підігрівачем (Променеве тепло) </t>
  </si>
  <si>
    <t xml:space="preserve">Тумба прикроватна         </t>
  </si>
  <si>
    <t xml:space="preserve">Ліжко функціональне (операційне) Simpex Objekt    </t>
  </si>
  <si>
    <t xml:space="preserve">Кушетка Simpex Objekt         </t>
  </si>
  <si>
    <t xml:space="preserve">Освітлювач Bistos BT - 410A             </t>
  </si>
  <si>
    <t xml:space="preserve">Відсмоктувач медичний "Біомед" 7Е-А    </t>
  </si>
  <si>
    <t xml:space="preserve">Кушетка     </t>
  </si>
  <si>
    <t xml:space="preserve">Система рентгенодіагностична JUMONG             </t>
  </si>
  <si>
    <t xml:space="preserve">Медичне електричне ліжко для пологів AD-1650     </t>
  </si>
  <si>
    <t xml:space="preserve">Насос шприцевий М300 </t>
  </si>
  <si>
    <t xml:space="preserve">Автомобіль б/в Chevrolet Chevy Silverado 3500 Duramax Ambulance  </t>
  </si>
  <si>
    <t>Крісло гінекологічне для породіллі</t>
  </si>
  <si>
    <t xml:space="preserve">Сфігмоманометр (дорослий), анероїд   </t>
  </si>
  <si>
    <t xml:space="preserve">Стетоскоп, бінауральний, повний   </t>
  </si>
  <si>
    <t xml:space="preserve">Ваги дитячі, пружинні, 5кг*25г     </t>
  </si>
  <si>
    <t xml:space="preserve">Стетоскоп фетальний Pinard    </t>
  </si>
  <si>
    <t xml:space="preserve">Слінг для використання зі скалою  </t>
  </si>
  <si>
    <t xml:space="preserve">Матрас комфорт 90х190 см (98 шт)     </t>
  </si>
  <si>
    <t xml:space="preserve">фонтан </t>
  </si>
  <si>
    <t>Принтер Canon I-SENSYS MF 112</t>
  </si>
  <si>
    <t>Світильник операційний ЛЕД (2 шт)</t>
  </si>
  <si>
    <t>Фентальний монітор L8-P6-PRO</t>
  </si>
  <si>
    <t>Powercom RPT-600A Schuko (ДБЖ)</t>
  </si>
  <si>
    <t>телефонний апарат Astro A169(14 шт)</t>
  </si>
  <si>
    <t>протипролежневий матрац (2 шт)</t>
  </si>
  <si>
    <t>принтер Canon I-SENSYS MF 3010+usb</t>
  </si>
  <si>
    <t>Холодильник Elenberg MR (2 шт)</t>
  </si>
  <si>
    <t>смітник декоративний з мапмуровою крихтою 400*400*630 в комплекті з відром (6 шт)</t>
  </si>
  <si>
    <t>Ковдра (40шт)</t>
  </si>
  <si>
    <t xml:space="preserve">Товари для немовлят (комплекти) (19 шт)                 </t>
  </si>
  <si>
    <t>Одяг дитячий  (13 шт)</t>
  </si>
  <si>
    <t xml:space="preserve">JH-2001-36 (KCK-18) Коробка для стерилізації Schimmelbusch, 390*190мм  (10шт)                                                                                                                                 </t>
  </si>
  <si>
    <t>Штатив ШДВ-5Н-К (10 шт)</t>
  </si>
  <si>
    <t>Штатив ШДВ-5Р-К (10 шт)</t>
  </si>
  <si>
    <t xml:space="preserve">Посібник англійська, іспанська, французька (6 шт)           </t>
  </si>
  <si>
    <t>Слінг для використання зі шкалою  (40 шт)</t>
  </si>
  <si>
    <t>Стетоскоп фетальний Pinard    (16 шт)</t>
  </si>
  <si>
    <t>Стетоскоп, бінауральний, повний   (24 шт)</t>
  </si>
  <si>
    <t>Сфігмоманометр (дорослий), анероїд   (8 шт)</t>
  </si>
  <si>
    <t>Звітний за 9 місяців 2022 року</t>
  </si>
  <si>
    <t>Кошти від надання послуг з медичної діяльності, відшкодування від страхової компанії (залишок минулих періодів)</t>
  </si>
  <si>
    <t>4.1.1</t>
  </si>
  <si>
    <t>4.1.4.</t>
  </si>
  <si>
    <t>4.1.5.</t>
  </si>
  <si>
    <t>4.2.2.</t>
  </si>
  <si>
    <t>4.3.</t>
  </si>
  <si>
    <t>4.3.1.</t>
  </si>
  <si>
    <t>6.2.</t>
  </si>
  <si>
    <t>3.1.1</t>
  </si>
  <si>
    <t>5.1.3.</t>
  </si>
  <si>
    <t>5.1.4.</t>
  </si>
  <si>
    <t>6.1.2.</t>
  </si>
  <si>
    <t>6.2.1.</t>
  </si>
  <si>
    <t>6.3.</t>
  </si>
  <si>
    <t>6.3.1.</t>
  </si>
  <si>
    <t>7.1.1.</t>
  </si>
  <si>
    <t>7.1.</t>
  </si>
  <si>
    <t>7.2.</t>
  </si>
  <si>
    <t>8.1.</t>
  </si>
  <si>
    <t>8.1.1.</t>
  </si>
  <si>
    <t>7.2.1.</t>
  </si>
  <si>
    <t>11.</t>
  </si>
  <si>
    <t>11.1.</t>
  </si>
  <si>
    <t>8.1.2.</t>
  </si>
  <si>
    <t>9.1.2.</t>
  </si>
  <si>
    <t>9.1.3.</t>
  </si>
  <si>
    <t>9.1.4.</t>
  </si>
  <si>
    <t>9.2.</t>
  </si>
  <si>
    <t>9.2.1.</t>
  </si>
  <si>
    <t>14.</t>
  </si>
  <si>
    <t>14.1</t>
  </si>
  <si>
    <t>14.1.1</t>
  </si>
  <si>
    <t>проведення наглядового аудиту сертифікації управління якістю</t>
  </si>
  <si>
    <t xml:space="preserve">адвокатські послуги </t>
  </si>
  <si>
    <t xml:space="preserve">оцінка приміщень </t>
  </si>
  <si>
    <t>баланс</t>
  </si>
  <si>
    <t>оренда медичного обладнання</t>
  </si>
  <si>
    <r>
      <t xml:space="preserve">кошти від надання послуг з  немедичної діяльності </t>
    </r>
    <r>
      <rPr>
        <i/>
        <sz val="14"/>
        <rFont val="Times New Roman"/>
        <family val="1"/>
        <charset val="204"/>
      </rPr>
      <t xml:space="preserve"> (платні палати, стажування інтернів)</t>
    </r>
  </si>
  <si>
    <t>податок на землю</t>
  </si>
  <si>
    <t xml:space="preserve">відшкодування витрат на оплату праці за працевлаштувння внутрішньо переміщених осіб внаслідок проведення бойових дій під час воєнного стану в Україні </t>
  </si>
  <si>
    <t>інформаційно-консультаційні послуги (адвокатські послуги)</t>
  </si>
  <si>
    <t>адвокатські послуги</t>
  </si>
  <si>
    <t>податок на додану вартість</t>
  </si>
  <si>
    <t>пільгова пенсія</t>
  </si>
  <si>
    <r>
      <t>інші податки, збори та платежі (</t>
    </r>
    <r>
      <rPr>
        <i/>
        <sz val="16"/>
        <color theme="1"/>
        <rFont val="Times New Roman"/>
        <family val="1"/>
        <charset val="204"/>
      </rPr>
      <t>профвнески</t>
    </r>
    <r>
      <rPr>
        <sz val="16"/>
        <color theme="1"/>
        <rFont val="Times New Roman"/>
        <family val="1"/>
        <charset val="204"/>
      </rPr>
      <t>)</t>
    </r>
  </si>
  <si>
    <t>ЗВІТ
 про виконання показників фінансового плану комунального некомерційного підприємства                                                                                                                                               "Вінницька міська клінічна лікарня "Центр матері та дитини"
за 9 місяців 2022 року</t>
  </si>
  <si>
    <t>Директор КНП "ВМКЛ"ЦМтаД"</t>
  </si>
  <si>
    <t>Директор КНП"ВМКЛ"ЦМтаД"</t>
  </si>
  <si>
    <t xml:space="preserve">                                                                                                                                                  </t>
  </si>
  <si>
    <r>
      <t xml:space="preserve">                               </t>
    </r>
    <r>
      <rPr>
        <sz val="14"/>
        <color theme="1"/>
        <rFont val="Times New Roman"/>
        <family val="1"/>
        <charset val="204"/>
      </rPr>
      <t xml:space="preserve">           </t>
    </r>
  </si>
  <si>
    <r>
      <t>Директор НКП"ВМКЛ"ЦМтаД"</t>
    </r>
    <r>
      <rPr>
        <u/>
        <sz val="16"/>
        <color theme="1"/>
        <rFont val="Times New Roman"/>
        <family val="1"/>
        <charset val="204"/>
      </rPr>
      <t xml:space="preserve"> </t>
    </r>
  </si>
  <si>
    <t>Інші адміністративні витрати, усього, у тому числі:</t>
  </si>
  <si>
    <t>кошти Вінницької міської територіальної громади (ВМТГ)</t>
  </si>
  <si>
    <t>19.1</t>
  </si>
  <si>
    <t>20.1</t>
  </si>
  <si>
    <t>20.1.1</t>
  </si>
  <si>
    <t>21.1</t>
  </si>
  <si>
    <t>21.1.1</t>
  </si>
  <si>
    <t>21.2</t>
  </si>
  <si>
    <t>21.2.1</t>
  </si>
  <si>
    <t>Розшифровка до розділу  IV "Капітальні інвестиції" за джерелами надходження</t>
  </si>
  <si>
    <r>
      <t xml:space="preserve">Кошти від надання послуг з  немедичної діяльності </t>
    </r>
    <r>
      <rPr>
        <i/>
        <sz val="14"/>
        <rFont val="Times New Roman"/>
        <family val="1"/>
        <charset val="204"/>
      </rPr>
      <t>(платні палати, стажування інтернів)</t>
    </r>
  </si>
  <si>
    <r>
      <t>Кошти державного бюджету (</t>
    </r>
    <r>
      <rPr>
        <b/>
        <i/>
        <sz val="14"/>
        <rFont val="Times New Roman"/>
        <family val="1"/>
        <charset val="204"/>
      </rPr>
      <t>відшкодування лікарям-інтернам за проходження інтернатури)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</si>
</sst>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3" formatCode="_-* #,##0.00\ _₴_-;\-* #,##0.00\ _₴_-;_-* &quot;-&quot;??\ _₴_-;_-@_-"/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_);_(@_)"/>
    <numFmt numFmtId="179" formatCode="_-* #,##0.0\ _₴_-;\-* #,##0.0\ _₴_-;_-* &quot;-&quot;?\ _₴_-;_-@_-"/>
  </numFmts>
  <fonts count="85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i/>
      <sz val="14"/>
      <color theme="0"/>
      <name val="Times New Roman"/>
      <family val="1"/>
      <charset val="204"/>
    </font>
    <font>
      <i/>
      <sz val="14"/>
      <color theme="0"/>
      <name val="Times New Roman"/>
      <family val="1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55"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24" fillId="2" borderId="0" applyNumberFormat="0" applyBorder="0" applyAlignment="0" applyProtection="0"/>
    <xf numFmtId="0" fontId="1" fillId="2" borderId="0" applyNumberFormat="0" applyBorder="0" applyAlignment="0" applyProtection="0"/>
    <xf numFmtId="0" fontId="24" fillId="3" borderId="0" applyNumberFormat="0" applyBorder="0" applyAlignment="0" applyProtection="0"/>
    <xf numFmtId="0" fontId="1" fillId="3" borderId="0" applyNumberFormat="0" applyBorder="0" applyAlignment="0" applyProtection="0"/>
    <xf numFmtId="0" fontId="24" fillId="4" borderId="0" applyNumberFormat="0" applyBorder="0" applyAlignment="0" applyProtection="0"/>
    <xf numFmtId="0" fontId="1" fillId="4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6" borderId="0" applyNumberFormat="0" applyBorder="0" applyAlignment="0" applyProtection="0"/>
    <xf numFmtId="0" fontId="1" fillId="6" borderId="0" applyNumberFormat="0" applyBorder="0" applyAlignment="0" applyProtection="0"/>
    <xf numFmtId="0" fontId="24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9" borderId="0" applyNumberFormat="0" applyBorder="0" applyAlignment="0" applyProtection="0"/>
    <xf numFmtId="0" fontId="1" fillId="9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25" fillId="12" borderId="0" applyNumberFormat="0" applyBorder="0" applyAlignment="0" applyProtection="0"/>
    <xf numFmtId="0" fontId="7" fillId="12" borderId="0" applyNumberFormat="0" applyBorder="0" applyAlignment="0" applyProtection="0"/>
    <xf numFmtId="0" fontId="25" fillId="9" borderId="0" applyNumberFormat="0" applyBorder="0" applyAlignment="0" applyProtection="0"/>
    <xf numFmtId="0" fontId="7" fillId="9" borderId="0" applyNumberFormat="0" applyBorder="0" applyAlignment="0" applyProtection="0"/>
    <xf numFmtId="0" fontId="25" fillId="10" borderId="0" applyNumberFormat="0" applyBorder="0" applyAlignment="0" applyProtection="0"/>
    <xf numFmtId="0" fontId="7" fillId="10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8" fillId="3" borderId="0" applyNumberFormat="0" applyBorder="0" applyAlignment="0" applyProtection="0"/>
    <xf numFmtId="0" fontId="10" fillId="20" borderId="1" applyNumberFormat="0" applyAlignment="0" applyProtection="0"/>
    <xf numFmtId="0" fontId="15" fillId="21" borderId="2" applyNumberFormat="0" applyAlignment="0" applyProtection="0"/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165" fontId="5" fillId="0" borderId="0" applyFont="0" applyFill="0" applyBorder="0" applyAlignment="0" applyProtection="0"/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0" fontId="19" fillId="0" borderId="0" applyNumberFormat="0" applyFill="0" applyBorder="0" applyAlignment="0" applyProtection="0"/>
    <xf numFmtId="171" fontId="27" fillId="0" borderId="0" applyAlignment="0">
      <alignment wrapText="1"/>
    </xf>
    <xf numFmtId="0" fontId="22" fillId="4" borderId="0" applyNumberFormat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8" fillId="7" borderId="1" applyNumberFormat="0" applyAlignment="0" applyProtection="0"/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29" fillId="22" borderId="7">
      <alignment horizontal="left" vertical="center"/>
      <protection locked="0"/>
    </xf>
    <xf numFmtId="49" fontId="29" fillId="22" borderId="7">
      <alignment horizontal="left" vertical="center"/>
    </xf>
    <xf numFmtId="4" fontId="29" fillId="22" borderId="7">
      <alignment horizontal="right" vertical="center"/>
      <protection locked="0"/>
    </xf>
    <xf numFmtId="4" fontId="29" fillId="22" borderId="7">
      <alignment horizontal="right" vertical="center"/>
    </xf>
    <xf numFmtId="4" fontId="30" fillId="22" borderId="7">
      <alignment horizontal="right" vertical="center"/>
      <protection locked="0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" fontId="31" fillId="22" borderId="3">
      <alignment horizontal="right" vertical="center"/>
      <protection locked="0"/>
    </xf>
    <xf numFmtId="4" fontId="31" fillId="22" borderId="3">
      <alignment horizontal="right" vertical="center"/>
    </xf>
    <xf numFmtId="4" fontId="33" fillId="22" borderId="3">
      <alignment horizontal="righ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</xf>
    <xf numFmtId="49" fontId="26" fillId="22" borderId="3">
      <alignment horizontal="left" vertical="center"/>
    </xf>
    <xf numFmtId="49" fontId="30" fillId="22" borderId="3">
      <alignment horizontal="left" vertical="center"/>
      <protection locked="0"/>
    </xf>
    <xf numFmtId="49" fontId="30" fillId="22" borderId="3">
      <alignment horizontal="left" vertical="center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</xf>
    <xf numFmtId="4" fontId="26" fillId="22" borderId="3">
      <alignment horizontal="right" vertical="center"/>
    </xf>
    <xf numFmtId="4" fontId="30" fillId="22" borderId="3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37" fillId="0" borderId="3">
      <alignment horizontal="left" vertical="center"/>
      <protection locked="0"/>
    </xf>
    <xf numFmtId="49" fontId="37" fillId="0" borderId="3">
      <alignment horizontal="left" vertical="center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" fontId="37" fillId="0" borderId="3">
      <alignment horizontal="right" vertical="center"/>
      <protection locked="0"/>
    </xf>
    <xf numFmtId="4" fontId="37" fillId="0" borderId="3">
      <alignment horizontal="right" vertical="center"/>
    </xf>
    <xf numFmtId="4" fontId="38" fillId="0" borderId="3">
      <alignment horizontal="right" vertical="center"/>
      <protection locked="0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" fontId="39" fillId="0" borderId="3">
      <alignment horizontal="right" vertical="center"/>
      <protection locked="0"/>
    </xf>
    <xf numFmtId="4" fontId="39" fillId="0" borderId="3">
      <alignment horizontal="right" vertical="center"/>
    </xf>
    <xf numFmtId="49" fontId="37" fillId="0" borderId="3">
      <alignment horizontal="left" vertical="center"/>
      <protection locked="0"/>
    </xf>
    <xf numFmtId="49" fontId="38" fillId="0" borderId="3">
      <alignment horizontal="left" vertical="center"/>
      <protection locked="0"/>
    </xf>
    <xf numFmtId="4" fontId="37" fillId="0" borderId="3">
      <alignment horizontal="right" vertical="center"/>
      <protection locked="0"/>
    </xf>
    <xf numFmtId="0" fontId="20" fillId="0" borderId="8" applyNumberFormat="0" applyFill="0" applyAlignment="0" applyProtection="0"/>
    <xf numFmtId="0" fontId="17" fillId="23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1" fillId="26" borderId="3">
      <alignment horizontal="right" vertical="center"/>
      <protection locked="0"/>
    </xf>
    <xf numFmtId="4" fontId="41" fillId="27" borderId="3">
      <alignment horizontal="right" vertical="center"/>
      <protection locked="0"/>
    </xf>
    <xf numFmtId="4" fontId="41" fillId="28" borderId="3">
      <alignment horizontal="right" vertical="center"/>
      <protection locked="0"/>
    </xf>
    <xf numFmtId="0" fontId="9" fillId="20" borderId="10" applyNumberFormat="0" applyAlignment="0" applyProtection="0"/>
    <xf numFmtId="49" fontId="26" fillId="0" borderId="3">
      <alignment horizontal="left" vertical="center" wrapText="1"/>
      <protection locked="0"/>
    </xf>
    <xf numFmtId="49" fontId="26" fillId="0" borderId="3">
      <alignment horizontal="left" vertical="center" wrapText="1"/>
      <protection locked="0"/>
    </xf>
    <xf numFmtId="0" fontId="16" fillId="0" borderId="0" applyNumberFormat="0" applyFill="0" applyBorder="0" applyAlignment="0" applyProtection="0"/>
    <xf numFmtId="0" fontId="14" fillId="0" borderId="11" applyNumberFormat="0" applyFill="0" applyAlignment="0" applyProtection="0"/>
    <xf numFmtId="0" fontId="21" fillId="0" borderId="0" applyNumberFormat="0" applyFill="0" applyBorder="0" applyAlignment="0" applyProtection="0"/>
    <xf numFmtId="0" fontId="25" fillId="16" borderId="0" applyNumberFormat="0" applyBorder="0" applyAlignment="0" applyProtection="0"/>
    <xf numFmtId="0" fontId="7" fillId="16" borderId="0" applyNumberFormat="0" applyBorder="0" applyAlignment="0" applyProtection="0"/>
    <xf numFmtId="0" fontId="25" fillId="17" borderId="0" applyNumberFormat="0" applyBorder="0" applyAlignment="0" applyProtection="0"/>
    <xf numFmtId="0" fontId="7" fillId="17" borderId="0" applyNumberFormat="0" applyBorder="0" applyAlignment="0" applyProtection="0"/>
    <xf numFmtId="0" fontId="25" fillId="18" borderId="0" applyNumberFormat="0" applyBorder="0" applyAlignment="0" applyProtection="0"/>
    <xf numFmtId="0" fontId="7" fillId="18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9" borderId="0" applyNumberFormat="0" applyBorder="0" applyAlignment="0" applyProtection="0"/>
    <xf numFmtId="0" fontId="7" fillId="19" borderId="0" applyNumberFormat="0" applyBorder="0" applyAlignment="0" applyProtection="0"/>
    <xf numFmtId="0" fontId="42" fillId="7" borderId="1" applyNumberFormat="0" applyAlignment="0" applyProtection="0"/>
    <xf numFmtId="0" fontId="8" fillId="7" borderId="1" applyNumberFormat="0" applyAlignment="0" applyProtection="0"/>
    <xf numFmtId="0" fontId="43" fillId="20" borderId="10" applyNumberFormat="0" applyAlignment="0" applyProtection="0"/>
    <xf numFmtId="0" fontId="9" fillId="20" borderId="10" applyNumberFormat="0" applyAlignment="0" applyProtection="0"/>
    <xf numFmtId="0" fontId="44" fillId="20" borderId="1" applyNumberFormat="0" applyAlignment="0" applyProtection="0"/>
    <xf numFmtId="0" fontId="10" fillId="20" borderId="1" applyNumberFormat="0" applyAlignment="0" applyProtection="0"/>
    <xf numFmtId="172" fontId="5" fillId="0" borderId="0" applyFont="0" applyFill="0" applyBorder="0" applyAlignment="0" applyProtection="0"/>
    <xf numFmtId="0" fontId="45" fillId="0" borderId="4" applyNumberFormat="0" applyFill="0" applyAlignment="0" applyProtection="0"/>
    <xf numFmtId="0" fontId="11" fillId="0" borderId="4" applyNumberFormat="0" applyFill="0" applyAlignment="0" applyProtection="0"/>
    <xf numFmtId="0" fontId="46" fillId="0" borderId="5" applyNumberFormat="0" applyFill="0" applyAlignment="0" applyProtection="0"/>
    <xf numFmtId="0" fontId="12" fillId="0" borderId="5" applyNumberFormat="0" applyFill="0" applyAlignment="0" applyProtection="0"/>
    <xf numFmtId="0" fontId="47" fillId="0" borderId="6" applyNumberFormat="0" applyFill="0" applyAlignment="0" applyProtection="0"/>
    <xf numFmtId="0" fontId="13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14" fillId="0" borderId="11" applyNumberFormat="0" applyFill="0" applyAlignment="0" applyProtection="0"/>
    <xf numFmtId="0" fontId="49" fillId="21" borderId="2" applyNumberFormat="0" applyAlignment="0" applyProtection="0"/>
    <xf numFmtId="0" fontId="15" fillId="21" borderId="2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0" fillId="23" borderId="0" applyNumberFormat="0" applyBorder="0" applyAlignment="0" applyProtection="0"/>
    <xf numFmtId="0" fontId="17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5" fillId="0" borderId="0"/>
    <xf numFmtId="0" fontId="2" fillId="0" borderId="0"/>
    <xf numFmtId="0" fontId="5" fillId="0" borderId="0"/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1" fillId="3" borderId="0" applyNumberFormat="0" applyBorder="0" applyAlignment="0" applyProtection="0"/>
    <xf numFmtId="0" fontId="18" fillId="3" borderId="0" applyNumberFormat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3" fillId="25" borderId="9" applyNumberFormat="0" applyFont="0" applyAlignment="0" applyProtection="0"/>
    <xf numFmtId="0" fontId="5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4" fillId="0" borderId="8" applyNumberFormat="0" applyFill="0" applyAlignment="0" applyProtection="0"/>
    <xf numFmtId="0" fontId="20" fillId="0" borderId="8" applyNumberFormat="0" applyFill="0" applyAlignment="0" applyProtection="0"/>
    <xf numFmtId="0" fontId="2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73" fontId="57" fillId="0" borderId="0" applyFont="0" applyFill="0" applyBorder="0" applyAlignment="0" applyProtection="0"/>
    <xf numFmtId="174" fontId="5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8" fillId="4" borderId="0" applyNumberFormat="0" applyBorder="0" applyAlignment="0" applyProtection="0"/>
    <xf numFmtId="0" fontId="22" fillId="4" borderId="0" applyNumberFormat="0" applyBorder="0" applyAlignment="0" applyProtection="0"/>
    <xf numFmtId="176" fontId="59" fillId="22" borderId="12" applyFill="0" applyBorder="0">
      <alignment horizontal="center" vertical="center" wrapText="1"/>
      <protection locked="0"/>
    </xf>
    <xf numFmtId="171" fontId="60" fillId="0" borderId="0">
      <alignment wrapText="1"/>
    </xf>
    <xf numFmtId="171" fontId="27" fillId="0" borderId="0">
      <alignment wrapText="1"/>
    </xf>
    <xf numFmtId="0" fontId="5" fillId="0" borderId="0"/>
    <xf numFmtId="43" fontId="2" fillId="0" borderId="0" applyFont="0" applyFill="0" applyBorder="0" applyAlignment="0" applyProtection="0"/>
  </cellStyleXfs>
  <cellXfs count="358">
    <xf numFmtId="0" fontId="0" fillId="0" borderId="0" xfId="0"/>
    <xf numFmtId="178" fontId="66" fillId="29" borderId="3" xfId="0" applyNumberFormat="1" applyFont="1" applyFill="1" applyBorder="1" applyAlignment="1">
      <alignment horizontal="center" vertical="center" wrapText="1"/>
    </xf>
    <xf numFmtId="170" fontId="66" fillId="29" borderId="3" xfId="0" applyNumberFormat="1" applyFont="1" applyFill="1" applyBorder="1" applyAlignment="1">
      <alignment horizontal="center" vertical="center" wrapText="1"/>
    </xf>
    <xf numFmtId="0" fontId="62" fillId="0" borderId="0" xfId="0" applyFont="1" applyFill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 shrinkToFit="1"/>
    </xf>
    <xf numFmtId="0" fontId="66" fillId="29" borderId="3" xfId="0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/>
    </xf>
    <xf numFmtId="178" fontId="62" fillId="29" borderId="3" xfId="0" applyNumberFormat="1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horizontal="center" vertical="center" wrapText="1"/>
    </xf>
    <xf numFmtId="0" fontId="66" fillId="29" borderId="20" xfId="182" applyFont="1" applyFill="1" applyBorder="1" applyAlignment="1">
      <alignment vertical="center" wrapText="1"/>
      <protection locked="0"/>
    </xf>
    <xf numFmtId="0" fontId="62" fillId="29" borderId="21" xfId="0" applyFont="1" applyFill="1" applyBorder="1" applyAlignment="1">
      <alignment horizontal="left" vertical="center" wrapText="1"/>
    </xf>
    <xf numFmtId="0" fontId="62" fillId="29" borderId="20" xfId="0" applyFont="1" applyFill="1" applyBorder="1" applyAlignment="1">
      <alignment horizontal="left" vertical="center" wrapText="1"/>
    </xf>
    <xf numFmtId="0" fontId="62" fillId="29" borderId="22" xfId="0" applyFont="1" applyFill="1" applyBorder="1" applyAlignment="1">
      <alignment horizontal="left" vertical="center" wrapText="1"/>
    </xf>
    <xf numFmtId="0" fontId="62" fillId="29" borderId="23" xfId="0" applyFont="1" applyFill="1" applyBorder="1" applyAlignment="1">
      <alignment horizontal="center" vertical="center"/>
    </xf>
    <xf numFmtId="49" fontId="66" fillId="29" borderId="3" xfId="0" applyNumberFormat="1" applyFont="1" applyFill="1" applyBorder="1" applyAlignment="1">
      <alignment horizontal="center" vertical="center"/>
    </xf>
    <xf numFmtId="177" fontId="66" fillId="29" borderId="3" xfId="0" applyNumberFormat="1" applyFont="1" applyFill="1" applyBorder="1" applyAlignment="1">
      <alignment horizontal="center" vertical="center" wrapText="1"/>
    </xf>
    <xf numFmtId="177" fontId="62" fillId="29" borderId="3" xfId="0" applyNumberFormat="1" applyFont="1" applyFill="1" applyBorder="1" applyAlignment="1">
      <alignment horizontal="center" vertical="center" wrapText="1"/>
    </xf>
    <xf numFmtId="170" fontId="62" fillId="29" borderId="3" xfId="0" applyNumberFormat="1" applyFont="1" applyFill="1" applyBorder="1" applyAlignment="1">
      <alignment horizontal="center" vertical="center" wrapText="1"/>
    </xf>
    <xf numFmtId="0" fontId="62" fillId="0" borderId="0" xfId="0" applyFont="1" applyFill="1" applyAlignment="1">
      <alignment vertical="center"/>
    </xf>
    <xf numFmtId="178" fontId="63" fillId="29" borderId="3" xfId="0" applyNumberFormat="1" applyFont="1" applyFill="1" applyBorder="1" applyAlignment="1">
      <alignment horizontal="center" vertical="center" wrapText="1"/>
    </xf>
    <xf numFmtId="178" fontId="65" fillId="29" borderId="3" xfId="0" applyNumberFormat="1" applyFont="1" applyFill="1" applyBorder="1" applyAlignment="1">
      <alignment horizontal="center" vertical="center" wrapText="1"/>
    </xf>
    <xf numFmtId="0" fontId="65" fillId="29" borderId="0" xfId="0" quotePrefix="1" applyFont="1" applyFill="1" applyBorder="1" applyAlignment="1">
      <alignment horizontal="center" vertical="center"/>
    </xf>
    <xf numFmtId="0" fontId="65" fillId="29" borderId="0" xfId="0" applyFont="1" applyFill="1" applyBorder="1" applyAlignment="1">
      <alignment vertical="center"/>
    </xf>
    <xf numFmtId="178" fontId="65" fillId="29" borderId="0" xfId="0" applyNumberFormat="1" applyFont="1" applyFill="1" applyBorder="1" applyAlignment="1">
      <alignment horizontal="center" vertical="center" wrapText="1"/>
    </xf>
    <xf numFmtId="178" fontId="64" fillId="29" borderId="3" xfId="0" applyNumberFormat="1" applyFont="1" applyFill="1" applyBorder="1" applyAlignment="1">
      <alignment horizontal="center" vertical="center" wrapText="1"/>
    </xf>
    <xf numFmtId="178" fontId="65" fillId="29" borderId="0" xfId="0" applyNumberFormat="1" applyFont="1" applyFill="1" applyBorder="1" applyAlignment="1">
      <alignment vertical="center"/>
    </xf>
    <xf numFmtId="0" fontId="62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horizontal="right" vertical="center"/>
    </xf>
    <xf numFmtId="0" fontId="62" fillId="29" borderId="0" xfId="0" applyFont="1" applyFill="1" applyAlignment="1">
      <alignment vertical="center"/>
    </xf>
    <xf numFmtId="0" fontId="66" fillId="29" borderId="0" xfId="0" applyFont="1" applyFill="1" applyBorder="1" applyAlignment="1">
      <alignment horizontal="left" vertical="center"/>
    </xf>
    <xf numFmtId="0" fontId="66" fillId="0" borderId="0" xfId="0" applyFont="1" applyFill="1" applyBorder="1" applyAlignment="1">
      <alignment horizontal="left" vertical="center"/>
    </xf>
    <xf numFmtId="0" fontId="62" fillId="29" borderId="13" xfId="0" applyFont="1" applyFill="1" applyBorder="1" applyAlignment="1">
      <alignment vertical="center"/>
    </xf>
    <xf numFmtId="0" fontId="62" fillId="29" borderId="13" xfId="0" applyFont="1" applyFill="1" applyBorder="1" applyAlignment="1">
      <alignment horizontal="center" vertical="center"/>
    </xf>
    <xf numFmtId="178" fontId="66" fillId="29" borderId="3" xfId="0" applyNumberFormat="1" applyFont="1" applyFill="1" applyBorder="1" applyAlignment="1">
      <alignment horizontal="center" vertical="center"/>
    </xf>
    <xf numFmtId="178" fontId="62" fillId="29" borderId="3" xfId="0" applyNumberFormat="1" applyFont="1" applyFill="1" applyBorder="1" applyAlignment="1">
      <alignment horizontal="center" vertical="center"/>
    </xf>
    <xf numFmtId="0" fontId="62" fillId="29" borderId="0" xfId="0" applyFont="1" applyFill="1" applyBorder="1" applyAlignment="1">
      <alignment horizontal="center" vertical="center" wrapText="1"/>
    </xf>
    <xf numFmtId="169" fontId="62" fillId="29" borderId="0" xfId="0" applyNumberFormat="1" applyFont="1" applyFill="1" applyBorder="1" applyAlignment="1">
      <alignment horizontal="center" vertical="center" wrapText="1"/>
    </xf>
    <xf numFmtId="0" fontId="66" fillId="29" borderId="0" xfId="0" applyFont="1" applyFill="1" applyBorder="1" applyAlignment="1">
      <alignment horizontal="right" vertical="center"/>
    </xf>
    <xf numFmtId="169" fontId="66" fillId="29" borderId="0" xfId="0" applyNumberFormat="1" applyFont="1" applyFill="1" applyBorder="1" applyAlignment="1">
      <alignment horizontal="right" vertical="center"/>
    </xf>
    <xf numFmtId="0" fontId="62" fillId="29" borderId="0" xfId="0" applyFont="1" applyFill="1" applyAlignment="1"/>
    <xf numFmtId="0" fontId="62" fillId="29" borderId="0" xfId="0" applyFont="1" applyFill="1" applyBorder="1" applyAlignment="1"/>
    <xf numFmtId="0" fontId="62" fillId="0" borderId="0" xfId="0" applyFont="1" applyFill="1" applyAlignment="1"/>
    <xf numFmtId="0" fontId="68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vertical="center" wrapText="1" shrinkToFit="1"/>
    </xf>
    <xf numFmtId="0" fontId="62" fillId="29" borderId="0" xfId="0" applyFont="1" applyFill="1" applyBorder="1" applyAlignment="1">
      <alignment vertical="center" wrapText="1" shrinkToFit="1"/>
    </xf>
    <xf numFmtId="0" fontId="72" fillId="0" borderId="0" xfId="0" applyFont="1" applyFill="1" applyAlignment="1">
      <alignment vertical="center"/>
    </xf>
    <xf numFmtId="0" fontId="67" fillId="29" borderId="3" xfId="0" applyFont="1" applyFill="1" applyBorder="1" applyAlignment="1">
      <alignment horizontal="center" vertical="center"/>
    </xf>
    <xf numFmtId="178" fontId="62" fillId="29" borderId="23" xfId="0" applyNumberFormat="1" applyFont="1" applyFill="1" applyBorder="1" applyAlignment="1">
      <alignment horizontal="center" vertical="center" wrapText="1"/>
    </xf>
    <xf numFmtId="170" fontId="62" fillId="29" borderId="23" xfId="0" applyNumberFormat="1" applyFont="1" applyFill="1" applyBorder="1" applyAlignment="1">
      <alignment horizontal="center" vertical="center" wrapText="1"/>
    </xf>
    <xf numFmtId="170" fontId="62" fillId="29" borderId="26" xfId="0" applyNumberFormat="1" applyFont="1" applyFill="1" applyBorder="1" applyAlignment="1">
      <alignment horizontal="center" vertical="center" wrapText="1"/>
    </xf>
    <xf numFmtId="0" fontId="67" fillId="29" borderId="20" xfId="0" applyFont="1" applyFill="1" applyBorder="1" applyAlignment="1">
      <alignment horizontal="center" vertical="center"/>
    </xf>
    <xf numFmtId="0" fontId="66" fillId="29" borderId="20" xfId="0" applyFont="1" applyFill="1" applyBorder="1" applyAlignment="1" applyProtection="1">
      <alignment horizontal="left" vertical="center" wrapText="1"/>
      <protection locked="0"/>
    </xf>
    <xf numFmtId="170" fontId="66" fillId="29" borderId="12" xfId="0" applyNumberFormat="1" applyFont="1" applyFill="1" applyBorder="1" applyAlignment="1">
      <alignment horizontal="center" vertical="center" wrapText="1"/>
    </xf>
    <xf numFmtId="0" fontId="62" fillId="29" borderId="20" xfId="182" applyFont="1" applyFill="1" applyBorder="1" applyAlignment="1">
      <alignment vertical="center" wrapText="1"/>
      <protection locked="0"/>
    </xf>
    <xf numFmtId="170" fontId="62" fillId="29" borderId="12" xfId="0" applyNumberFormat="1" applyFont="1" applyFill="1" applyBorder="1" applyAlignment="1">
      <alignment horizontal="center" vertical="center" wrapText="1"/>
    </xf>
    <xf numFmtId="0" fontId="62" fillId="29" borderId="22" xfId="182" applyFont="1" applyFill="1" applyBorder="1" applyAlignment="1">
      <alignment vertical="center" wrapText="1"/>
      <protection locked="0"/>
    </xf>
    <xf numFmtId="177" fontId="62" fillId="29" borderId="23" xfId="0" applyNumberFormat="1" applyFont="1" applyFill="1" applyBorder="1" applyAlignment="1">
      <alignment horizontal="center" vertical="center" wrapText="1"/>
    </xf>
    <xf numFmtId="178" fontId="66" fillId="29" borderId="12" xfId="0" applyNumberFormat="1" applyFont="1" applyFill="1" applyBorder="1" applyAlignment="1">
      <alignment horizontal="center" vertical="center" wrapText="1"/>
    </xf>
    <xf numFmtId="178" fontId="62" fillId="29" borderId="12" xfId="0" applyNumberFormat="1" applyFont="1" applyFill="1" applyBorder="1" applyAlignment="1">
      <alignment horizontal="center" vertical="center" wrapText="1"/>
    </xf>
    <xf numFmtId="178" fontId="62" fillId="29" borderId="26" xfId="0" applyNumberFormat="1" applyFont="1" applyFill="1" applyBorder="1" applyAlignment="1">
      <alignment horizontal="center" vertical="center" wrapText="1"/>
    </xf>
    <xf numFmtId="0" fontId="66" fillId="29" borderId="20" xfId="245" applyFont="1" applyFill="1" applyBorder="1" applyAlignment="1">
      <alignment horizontal="left" vertical="center" wrapText="1"/>
    </xf>
    <xf numFmtId="0" fontId="62" fillId="29" borderId="20" xfId="245" applyFont="1" applyFill="1" applyBorder="1" applyAlignment="1">
      <alignment horizontal="left" vertical="center" wrapText="1"/>
    </xf>
    <xf numFmtId="0" fontId="66" fillId="29" borderId="22" xfId="0" applyFont="1" applyFill="1" applyBorder="1" applyAlignment="1" applyProtection="1">
      <alignment horizontal="left" vertical="center" wrapText="1"/>
      <protection locked="0"/>
    </xf>
    <xf numFmtId="0" fontId="66" fillId="29" borderId="23" xfId="0" applyFont="1" applyFill="1" applyBorder="1" applyAlignment="1">
      <alignment horizontal="center" vertical="center" wrapText="1"/>
    </xf>
    <xf numFmtId="178" fontId="66" fillId="29" borderId="23" xfId="0" applyNumberFormat="1" applyFont="1" applyFill="1" applyBorder="1" applyAlignment="1">
      <alignment horizontal="center" vertical="center" wrapText="1"/>
    </xf>
    <xf numFmtId="178" fontId="66" fillId="29" borderId="26" xfId="0" applyNumberFormat="1" applyFont="1" applyFill="1" applyBorder="1" applyAlignment="1">
      <alignment horizontal="center" vertical="center" wrapText="1"/>
    </xf>
    <xf numFmtId="0" fontId="66" fillId="29" borderId="22" xfId="0" applyFont="1" applyFill="1" applyBorder="1" applyAlignment="1">
      <alignment horizontal="left" vertical="center" wrapText="1"/>
    </xf>
    <xf numFmtId="0" fontId="66" fillId="29" borderId="22" xfId="182" applyFont="1" applyFill="1" applyBorder="1" applyAlignment="1">
      <alignment vertical="center" wrapText="1"/>
      <protection locked="0"/>
    </xf>
    <xf numFmtId="0" fontId="66" fillId="29" borderId="23" xfId="0" applyFont="1" applyFill="1" applyBorder="1" applyAlignment="1">
      <alignment horizontal="center" vertical="center"/>
    </xf>
    <xf numFmtId="0" fontId="68" fillId="29" borderId="19" xfId="0" applyFont="1" applyFill="1" applyBorder="1" applyAlignment="1">
      <alignment horizontal="center" vertical="center"/>
    </xf>
    <xf numFmtId="0" fontId="62" fillId="29" borderId="19" xfId="0" applyFont="1" applyFill="1" applyBorder="1" applyAlignment="1">
      <alignment horizontal="center" vertical="center"/>
    </xf>
    <xf numFmtId="0" fontId="62" fillId="22" borderId="17" xfId="0" applyFont="1" applyFill="1" applyBorder="1" applyAlignment="1">
      <alignment horizontal="center" vertical="center" wrapText="1"/>
    </xf>
    <xf numFmtId="0" fontId="63" fillId="29" borderId="3" xfId="0" applyFont="1" applyFill="1" applyBorder="1" applyAlignment="1">
      <alignment horizontal="center" vertical="center" wrapText="1"/>
    </xf>
    <xf numFmtId="0" fontId="65" fillId="29" borderId="3" xfId="0" applyFont="1" applyFill="1" applyBorder="1" applyAlignment="1">
      <alignment horizontal="center" vertical="center" wrapText="1"/>
    </xf>
    <xf numFmtId="0" fontId="76" fillId="29" borderId="3" xfId="0" applyFont="1" applyFill="1" applyBorder="1" applyAlignment="1">
      <alignment horizontal="left" vertical="center"/>
    </xf>
    <xf numFmtId="0" fontId="64" fillId="29" borderId="3" xfId="0" applyFont="1" applyFill="1" applyBorder="1" applyAlignment="1">
      <alignment horizontal="left" vertical="center" wrapText="1"/>
    </xf>
    <xf numFmtId="0" fontId="63" fillId="29" borderId="3" xfId="0" applyFont="1" applyFill="1" applyBorder="1" applyAlignment="1">
      <alignment horizontal="left" vertical="center" wrapText="1"/>
    </xf>
    <xf numFmtId="0" fontId="65" fillId="29" borderId="3" xfId="0" applyFont="1" applyFill="1" applyBorder="1" applyAlignment="1">
      <alignment horizontal="left" vertical="center" wrapText="1"/>
    </xf>
    <xf numFmtId="0" fontId="65" fillId="29" borderId="3" xfId="0" applyFont="1" applyFill="1" applyBorder="1" applyAlignment="1">
      <alignment horizontal="left" vertical="center"/>
    </xf>
    <xf numFmtId="0" fontId="64" fillId="29" borderId="3" xfId="0" applyFont="1" applyFill="1" applyBorder="1" applyAlignment="1">
      <alignment horizontal="center" vertical="center" wrapText="1"/>
    </xf>
    <xf numFmtId="0" fontId="70" fillId="29" borderId="0" xfId="0" applyFont="1" applyFill="1" applyBorder="1" applyAlignment="1">
      <alignment vertical="center"/>
    </xf>
    <xf numFmtId="0" fontId="65" fillId="29" borderId="0" xfId="0" applyFont="1" applyFill="1" applyBorder="1" applyAlignment="1">
      <alignment horizontal="left" vertical="center" wrapText="1"/>
    </xf>
    <xf numFmtId="170" fontId="65" fillId="29" borderId="0" xfId="0" applyNumberFormat="1" applyFont="1" applyFill="1" applyBorder="1" applyAlignment="1">
      <alignment horizontal="right" vertical="center" wrapText="1"/>
    </xf>
    <xf numFmtId="0" fontId="63" fillId="29" borderId="0" xfId="0" applyFont="1" applyFill="1" applyBorder="1" applyAlignment="1">
      <alignment vertical="center"/>
    </xf>
    <xf numFmtId="0" fontId="66" fillId="29" borderId="0" xfId="0" applyFont="1" applyFill="1" applyBorder="1" applyAlignment="1">
      <alignment vertical="center"/>
    </xf>
    <xf numFmtId="178" fontId="65" fillId="29" borderId="0" xfId="0" applyNumberFormat="1" applyFont="1" applyFill="1" applyBorder="1" applyAlignment="1">
      <alignment horizontal="center"/>
    </xf>
    <xf numFmtId="179" fontId="65" fillId="29" borderId="0" xfId="0" applyNumberFormat="1" applyFont="1" applyFill="1" applyBorder="1" applyAlignment="1">
      <alignment horizontal="center"/>
    </xf>
    <xf numFmtId="0" fontId="73" fillId="29" borderId="3" xfId="0" applyFont="1" applyFill="1" applyBorder="1" applyAlignment="1">
      <alignment horizontal="center" vertical="center" wrapText="1"/>
    </xf>
    <xf numFmtId="0" fontId="65" fillId="29" borderId="17" xfId="0" applyFont="1" applyFill="1" applyBorder="1" applyAlignment="1">
      <alignment horizontal="center" vertical="center" wrapText="1"/>
    </xf>
    <xf numFmtId="0" fontId="63" fillId="29" borderId="0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center" vertical="center" wrapText="1"/>
    </xf>
    <xf numFmtId="179" fontId="63" fillId="29" borderId="0" xfId="0" applyNumberFormat="1" applyFont="1" applyFill="1" applyBorder="1" applyAlignment="1">
      <alignment horizontal="center" vertical="center"/>
    </xf>
    <xf numFmtId="178" fontId="63" fillId="29" borderId="0" xfId="0" applyNumberFormat="1" applyFont="1" applyFill="1" applyBorder="1" applyAlignment="1">
      <alignment horizontal="center" vertical="center"/>
    </xf>
    <xf numFmtId="178" fontId="65" fillId="29" borderId="0" xfId="0" applyNumberFormat="1" applyFont="1" applyFill="1" applyBorder="1" applyAlignment="1">
      <alignment horizontal="center" vertical="center"/>
    </xf>
    <xf numFmtId="0" fontId="65" fillId="29" borderId="17" xfId="0" applyFont="1" applyFill="1" applyBorder="1" applyAlignment="1">
      <alignment horizontal="center" vertical="center"/>
    </xf>
    <xf numFmtId="0" fontId="65" fillId="29" borderId="3" xfId="0" applyFont="1" applyFill="1" applyBorder="1" applyAlignment="1">
      <alignment horizontal="center" vertical="center"/>
    </xf>
    <xf numFmtId="0" fontId="65" fillId="29" borderId="0" xfId="0" applyFont="1" applyFill="1" applyBorder="1" applyAlignment="1">
      <alignment vertical="center" wrapText="1"/>
    </xf>
    <xf numFmtId="0" fontId="62" fillId="29" borderId="0" xfId="0" applyFont="1" applyFill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179" fontId="65" fillId="29" borderId="0" xfId="0" applyNumberFormat="1" applyFont="1" applyFill="1" applyBorder="1" applyAlignment="1">
      <alignment vertical="center"/>
    </xf>
    <xf numFmtId="179" fontId="63" fillId="29" borderId="0" xfId="0" applyNumberFormat="1" applyFont="1" applyFill="1" applyBorder="1" applyAlignment="1">
      <alignment vertical="center"/>
    </xf>
    <xf numFmtId="0" fontId="62" fillId="29" borderId="0" xfId="0" applyFont="1" applyFill="1" applyBorder="1" applyAlignment="1">
      <alignment vertical="center"/>
    </xf>
    <xf numFmtId="0" fontId="62" fillId="29" borderId="0" xfId="0" applyFont="1" applyFill="1" applyAlignment="1">
      <alignment horizontal="left" vertical="center"/>
    </xf>
    <xf numFmtId="0" fontId="68" fillId="29" borderId="0" xfId="0" applyFont="1" applyFill="1" applyAlignment="1">
      <alignment horizontal="center" vertical="center"/>
    </xf>
    <xf numFmtId="0" fontId="66" fillId="29" borderId="0" xfId="0" applyFont="1" applyFill="1" applyBorder="1" applyAlignment="1" applyProtection="1">
      <alignment horizontal="left" vertical="center"/>
      <protection locked="0"/>
    </xf>
    <xf numFmtId="170" fontId="66" fillId="29" borderId="0" xfId="0" applyNumberFormat="1" applyFont="1" applyFill="1" applyBorder="1" applyAlignment="1">
      <alignment horizontal="center" vertical="center" wrapText="1"/>
    </xf>
    <xf numFmtId="170" fontId="66" fillId="29" borderId="0" xfId="0" applyNumberFormat="1" applyFont="1" applyFill="1" applyBorder="1" applyAlignment="1">
      <alignment horizontal="right" vertical="center" wrapText="1"/>
    </xf>
    <xf numFmtId="170" fontId="62" fillId="29" borderId="0" xfId="0" applyNumberFormat="1" applyFont="1" applyFill="1" applyBorder="1" applyAlignment="1">
      <alignment horizontal="center" vertical="center" wrapText="1"/>
    </xf>
    <xf numFmtId="0" fontId="62" fillId="29" borderId="0" xfId="0" quotePrefix="1" applyFont="1" applyFill="1" applyBorder="1" applyAlignment="1">
      <alignment horizontal="center" vertical="center"/>
    </xf>
    <xf numFmtId="170" fontId="68" fillId="29" borderId="0" xfId="0" applyNumberFormat="1" applyFont="1" applyFill="1" applyBorder="1" applyAlignment="1">
      <alignment vertical="center"/>
    </xf>
    <xf numFmtId="0" fontId="62" fillId="29" borderId="0" xfId="0" applyFont="1" applyFill="1" applyBorder="1" applyAlignment="1">
      <alignment vertical="center" wrapText="1"/>
    </xf>
    <xf numFmtId="169" fontId="62" fillId="29" borderId="0" xfId="0" applyNumberFormat="1" applyFont="1" applyFill="1" applyBorder="1" applyAlignment="1">
      <alignment vertical="center"/>
    </xf>
    <xf numFmtId="170" fontId="62" fillId="29" borderId="3" xfId="0" applyNumberFormat="1" applyFont="1" applyFill="1" applyBorder="1" applyAlignment="1">
      <alignment horizontal="right" vertical="center" wrapText="1"/>
    </xf>
    <xf numFmtId="179" fontId="62" fillId="29" borderId="0" xfId="0" applyNumberFormat="1" applyFont="1" applyFill="1" applyBorder="1" applyAlignment="1">
      <alignment vertical="center"/>
    </xf>
    <xf numFmtId="177" fontId="62" fillId="29" borderId="0" xfId="0" applyNumberFormat="1" applyFont="1" applyFill="1" applyBorder="1" applyAlignment="1">
      <alignment vertical="center"/>
    </xf>
    <xf numFmtId="0" fontId="65" fillId="29" borderId="0" xfId="0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62" fillId="29" borderId="0" xfId="0" applyFont="1" applyFill="1" applyBorder="1" applyAlignment="1">
      <alignment horizontal="center" vertical="center"/>
    </xf>
    <xf numFmtId="179" fontId="62" fillId="29" borderId="0" xfId="0" applyNumberFormat="1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62" fillId="29" borderId="0" xfId="0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62" fillId="29" borderId="0" xfId="0" applyFont="1" applyFill="1" applyBorder="1" applyAlignment="1">
      <alignment horizontal="center"/>
    </xf>
    <xf numFmtId="0" fontId="62" fillId="29" borderId="0" xfId="0" applyFont="1" applyFill="1" applyAlignment="1">
      <alignment horizontal="center" vertical="center"/>
    </xf>
    <xf numFmtId="0" fontId="65" fillId="29" borderId="0" xfId="0" applyFont="1" applyFill="1" applyBorder="1" applyAlignment="1">
      <alignment horizontal="center" vertical="center"/>
    </xf>
    <xf numFmtId="170" fontId="65" fillId="29" borderId="0" xfId="0" applyNumberFormat="1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left" vertical="center"/>
    </xf>
    <xf numFmtId="0" fontId="65" fillId="29" borderId="13" xfId="0" applyFont="1" applyFill="1" applyBorder="1" applyAlignment="1">
      <alignment horizontal="center" vertical="center"/>
    </xf>
    <xf numFmtId="0" fontId="65" fillId="29" borderId="17" xfId="0" applyFont="1" applyFill="1" applyBorder="1" applyAlignment="1">
      <alignment horizontal="center" vertical="center" wrapText="1" shrinkToFit="1"/>
    </xf>
    <xf numFmtId="0" fontId="65" fillId="29" borderId="16" xfId="0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0" fontId="65" fillId="29" borderId="15" xfId="353" applyFont="1" applyFill="1" applyBorder="1" applyAlignment="1">
      <alignment vertical="center" wrapText="1"/>
    </xf>
    <xf numFmtId="0" fontId="76" fillId="29" borderId="3" xfId="0" applyFont="1" applyFill="1" applyBorder="1" applyAlignment="1">
      <alignment wrapText="1"/>
    </xf>
    <xf numFmtId="0" fontId="76" fillId="29" borderId="3" xfId="0" applyFont="1" applyFill="1" applyBorder="1"/>
    <xf numFmtId="0" fontId="64" fillId="29" borderId="3" xfId="0" quotePrefix="1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left" vertical="center" wrapText="1"/>
    </xf>
    <xf numFmtId="178" fontId="81" fillId="29" borderId="12" xfId="0" applyNumberFormat="1" applyFont="1" applyFill="1" applyBorder="1" applyAlignment="1">
      <alignment horizontal="center" vertical="center" wrapText="1"/>
    </xf>
    <xf numFmtId="178" fontId="81" fillId="29" borderId="3" xfId="0" applyNumberFormat="1" applyFont="1" applyFill="1" applyBorder="1" applyAlignment="1">
      <alignment horizontal="center" vertical="center" wrapText="1"/>
    </xf>
    <xf numFmtId="178" fontId="82" fillId="29" borderId="12" xfId="0" applyNumberFormat="1" applyFont="1" applyFill="1" applyBorder="1" applyAlignment="1">
      <alignment horizontal="center" vertical="center" wrapText="1"/>
    </xf>
    <xf numFmtId="178" fontId="82" fillId="29" borderId="3" xfId="0" applyNumberFormat="1" applyFont="1" applyFill="1" applyBorder="1" applyAlignment="1">
      <alignment horizontal="center" vertical="center" wrapText="1"/>
    </xf>
    <xf numFmtId="178" fontId="82" fillId="29" borderId="23" xfId="0" applyNumberFormat="1" applyFont="1" applyFill="1" applyBorder="1" applyAlignment="1">
      <alignment horizontal="center" vertical="center" wrapText="1"/>
    </xf>
    <xf numFmtId="178" fontId="82" fillId="29" borderId="26" xfId="0" applyNumberFormat="1" applyFont="1" applyFill="1" applyBorder="1" applyAlignment="1">
      <alignment horizontal="center" vertical="center" wrapText="1"/>
    </xf>
    <xf numFmtId="0" fontId="66" fillId="29" borderId="13" xfId="0" applyFont="1" applyFill="1" applyBorder="1" applyAlignment="1">
      <alignment horizontal="center" wrapText="1"/>
    </xf>
    <xf numFmtId="0" fontId="70" fillId="29" borderId="0" xfId="0" applyFont="1" applyFill="1" applyBorder="1" applyAlignment="1">
      <alignment horizontal="center" wrapText="1"/>
    </xf>
    <xf numFmtId="0" fontId="65" fillId="29" borderId="3" xfId="0" quotePrefix="1" applyFont="1" applyFill="1" applyBorder="1" applyAlignment="1">
      <alignment horizontal="center" vertical="center"/>
    </xf>
    <xf numFmtId="178" fontId="79" fillId="29" borderId="3" xfId="0" applyNumberFormat="1" applyFont="1" applyFill="1" applyBorder="1" applyAlignment="1">
      <alignment vertical="center"/>
    </xf>
    <xf numFmtId="178" fontId="80" fillId="29" borderId="3" xfId="0" applyNumberFormat="1" applyFont="1" applyFill="1" applyBorder="1" applyAlignment="1">
      <alignment vertical="center"/>
    </xf>
    <xf numFmtId="0" fontId="65" fillId="0" borderId="0" xfId="0" applyFont="1" applyFill="1" applyBorder="1" applyAlignment="1">
      <alignment vertical="center"/>
    </xf>
    <xf numFmtId="0" fontId="63" fillId="0" borderId="0" xfId="0" applyFont="1" applyFill="1" applyBorder="1" applyAlignment="1">
      <alignment vertical="center"/>
    </xf>
    <xf numFmtId="0" fontId="65" fillId="0" borderId="0" xfId="0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horizontal="center" vertical="center" wrapText="1"/>
    </xf>
    <xf numFmtId="0" fontId="65" fillId="0" borderId="17" xfId="0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 wrapText="1"/>
    </xf>
    <xf numFmtId="178" fontId="65" fillId="0" borderId="0" xfId="0" applyNumberFormat="1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vertical="center"/>
    </xf>
    <xf numFmtId="0" fontId="65" fillId="0" borderId="3" xfId="0" applyFont="1" applyFill="1" applyBorder="1" applyAlignment="1">
      <alignment horizontal="center" vertical="center"/>
    </xf>
    <xf numFmtId="179" fontId="63" fillId="0" borderId="0" xfId="0" applyNumberFormat="1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179" fontId="63" fillId="0" borderId="3" xfId="0" applyNumberFormat="1" applyFont="1" applyFill="1" applyBorder="1" applyAlignment="1">
      <alignment horizontal="center" vertical="center" wrapText="1"/>
    </xf>
    <xf numFmtId="178" fontId="63" fillId="0" borderId="0" xfId="0" applyNumberFormat="1" applyFont="1" applyFill="1" applyBorder="1" applyAlignment="1">
      <alignment horizontal="center" vertical="center"/>
    </xf>
    <xf numFmtId="179" fontId="65" fillId="0" borderId="0" xfId="0" applyNumberFormat="1" applyFont="1" applyFill="1" applyBorder="1" applyAlignment="1">
      <alignment vertical="center"/>
    </xf>
    <xf numFmtId="0" fontId="63" fillId="0" borderId="3" xfId="0" applyFont="1" applyFill="1" applyBorder="1" applyAlignment="1">
      <alignment vertical="center" wrapText="1"/>
    </xf>
    <xf numFmtId="178" fontId="63" fillId="0" borderId="3" xfId="0" applyNumberFormat="1" applyFont="1" applyFill="1" applyBorder="1" applyAlignment="1">
      <alignment horizontal="center" vertical="center" wrapText="1"/>
    </xf>
    <xf numFmtId="178" fontId="63" fillId="0" borderId="3" xfId="0" applyNumberFormat="1" applyFont="1" applyFill="1" applyBorder="1" applyAlignment="1">
      <alignment horizontal="center" vertical="center"/>
    </xf>
    <xf numFmtId="178" fontId="65" fillId="0" borderId="0" xfId="0" applyNumberFormat="1" applyFont="1" applyFill="1" applyBorder="1" applyAlignment="1">
      <alignment horizontal="center" vertical="center"/>
    </xf>
    <xf numFmtId="178" fontId="65" fillId="0" borderId="0" xfId="0" applyNumberFormat="1" applyFont="1" applyFill="1" applyBorder="1" applyAlignment="1">
      <alignment vertical="center"/>
    </xf>
    <xf numFmtId="0" fontId="64" fillId="0" borderId="3" xfId="0" applyFont="1" applyFill="1" applyBorder="1" applyAlignment="1">
      <alignment horizontal="left" vertical="center"/>
    </xf>
    <xf numFmtId="178" fontId="65" fillId="0" borderId="3" xfId="0" applyNumberFormat="1" applyFont="1" applyFill="1" applyBorder="1" applyAlignment="1">
      <alignment horizontal="center" vertical="center" wrapText="1"/>
    </xf>
    <xf numFmtId="49" fontId="73" fillId="0" borderId="3" xfId="0" applyNumberFormat="1" applyFont="1" applyFill="1" applyBorder="1" applyAlignment="1">
      <alignment horizontal="center" vertical="center"/>
    </xf>
    <xf numFmtId="0" fontId="73" fillId="0" borderId="3" xfId="0" applyFont="1" applyFill="1" applyBorder="1" applyAlignment="1">
      <alignment horizontal="left" vertical="center" wrapText="1"/>
    </xf>
    <xf numFmtId="0" fontId="73" fillId="0" borderId="3" xfId="0" applyFont="1" applyFill="1" applyBorder="1" applyAlignment="1">
      <alignment horizontal="center" vertical="center" wrapText="1"/>
    </xf>
    <xf numFmtId="178" fontId="73" fillId="0" borderId="3" xfId="0" applyNumberFormat="1" applyFont="1" applyFill="1" applyBorder="1" applyAlignment="1">
      <alignment horizontal="center" vertical="center" wrapText="1"/>
    </xf>
    <xf numFmtId="49" fontId="74" fillId="0" borderId="3" xfId="0" applyNumberFormat="1" applyFont="1" applyFill="1" applyBorder="1" applyAlignment="1">
      <alignment horizontal="center" vertical="center"/>
    </xf>
    <xf numFmtId="0" fontId="74" fillId="0" borderId="3" xfId="0" applyFont="1" applyFill="1" applyBorder="1" applyAlignment="1">
      <alignment horizontal="left" vertical="center" wrapText="1"/>
    </xf>
    <xf numFmtId="0" fontId="74" fillId="0" borderId="3" xfId="0" applyFont="1" applyFill="1" applyBorder="1" applyAlignment="1">
      <alignment horizontal="center" vertical="center" wrapText="1"/>
    </xf>
    <xf numFmtId="179" fontId="63" fillId="0" borderId="0" xfId="0" applyNumberFormat="1" applyFont="1" applyFill="1" applyBorder="1" applyAlignment="1">
      <alignment vertical="center"/>
    </xf>
    <xf numFmtId="49" fontId="75" fillId="0" borderId="3" xfId="0" applyNumberFormat="1" applyFont="1" applyFill="1" applyBorder="1" applyAlignment="1">
      <alignment horizontal="center" vertical="center"/>
    </xf>
    <xf numFmtId="0" fontId="76" fillId="0" borderId="3" xfId="0" applyFont="1" applyFill="1" applyBorder="1" applyAlignment="1">
      <alignment horizontal="left" vertical="center" wrapText="1"/>
    </xf>
    <xf numFmtId="0" fontId="76" fillId="0" borderId="3" xfId="0" applyFont="1" applyFill="1" applyBorder="1" applyAlignment="1">
      <alignment horizontal="center" vertical="center" wrapText="1"/>
    </xf>
    <xf numFmtId="178" fontId="65" fillId="0" borderId="3" xfId="0" applyNumberFormat="1" applyFont="1" applyFill="1" applyBorder="1" applyAlignment="1">
      <alignment horizontal="center" vertical="center"/>
    </xf>
    <xf numFmtId="178" fontId="63" fillId="0" borderId="0" xfId="0" applyNumberFormat="1" applyFont="1" applyFill="1" applyBorder="1" applyAlignment="1">
      <alignment vertical="center"/>
    </xf>
    <xf numFmtId="0" fontId="76" fillId="0" borderId="15" xfId="0" applyFont="1" applyFill="1" applyBorder="1" applyAlignment="1">
      <alignment vertical="center" wrapText="1"/>
    </xf>
    <xf numFmtId="178" fontId="80" fillId="0" borderId="3" xfId="0" applyNumberFormat="1" applyFont="1" applyFill="1" applyBorder="1" applyAlignment="1">
      <alignment horizontal="center" vertical="center"/>
    </xf>
    <xf numFmtId="0" fontId="74" fillId="0" borderId="3" xfId="0" applyFont="1" applyFill="1" applyBorder="1" applyAlignment="1">
      <alignment horizontal="center" vertical="center"/>
    </xf>
    <xf numFmtId="178" fontId="79" fillId="0" borderId="3" xfId="0" applyNumberFormat="1" applyFont="1" applyFill="1" applyBorder="1" applyAlignment="1">
      <alignment horizontal="center" vertical="center"/>
    </xf>
    <xf numFmtId="0" fontId="78" fillId="0" borderId="0" xfId="0" applyFont="1" applyFill="1" applyBorder="1" applyAlignment="1">
      <alignment vertical="center"/>
    </xf>
    <xf numFmtId="169" fontId="65" fillId="0" borderId="0" xfId="0" applyNumberFormat="1" applyFont="1" applyFill="1" applyBorder="1" applyAlignment="1">
      <alignment vertical="center"/>
    </xf>
    <xf numFmtId="49" fontId="76" fillId="0" borderId="3" xfId="0" applyNumberFormat="1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vertical="center" wrapText="1"/>
    </xf>
    <xf numFmtId="0" fontId="76" fillId="0" borderId="3" xfId="0" applyFont="1" applyFill="1" applyBorder="1" applyAlignment="1">
      <alignment horizontal="center" vertical="center"/>
    </xf>
    <xf numFmtId="178" fontId="64" fillId="0" borderId="3" xfId="0" applyNumberFormat="1" applyFont="1" applyFill="1" applyBorder="1" applyAlignment="1">
      <alignment horizontal="center" vertical="center" wrapText="1"/>
    </xf>
    <xf numFmtId="170" fontId="65" fillId="0" borderId="0" xfId="0" applyNumberFormat="1" applyFont="1" applyFill="1" applyBorder="1" applyAlignment="1">
      <alignment vertical="center"/>
    </xf>
    <xf numFmtId="0" fontId="73" fillId="0" borderId="3" xfId="0" applyFont="1" applyFill="1" applyBorder="1" applyAlignment="1">
      <alignment vertical="center" wrapText="1"/>
    </xf>
    <xf numFmtId="178" fontId="73" fillId="0" borderId="3" xfId="0" applyNumberFormat="1" applyFont="1" applyFill="1" applyBorder="1" applyAlignment="1">
      <alignment horizontal="center" vertical="center"/>
    </xf>
    <xf numFmtId="178" fontId="65" fillId="0" borderId="0" xfId="0" applyNumberFormat="1" applyFont="1" applyFill="1" applyBorder="1" applyAlignment="1">
      <alignment horizontal="center"/>
    </xf>
    <xf numFmtId="179" fontId="65" fillId="0" borderId="0" xfId="0" applyNumberFormat="1" applyFont="1" applyFill="1" applyBorder="1" applyAlignment="1">
      <alignment horizontal="center"/>
    </xf>
    <xf numFmtId="0" fontId="73" fillId="0" borderId="3" xfId="0" applyFont="1" applyFill="1" applyBorder="1" applyAlignment="1">
      <alignment horizontal="left" vertical="center"/>
    </xf>
    <xf numFmtId="178" fontId="83" fillId="0" borderId="3" xfId="0" applyNumberFormat="1" applyFont="1" applyFill="1" applyBorder="1" applyAlignment="1">
      <alignment horizontal="center" vertical="center"/>
    </xf>
    <xf numFmtId="179" fontId="65" fillId="0" borderId="0" xfId="0" applyNumberFormat="1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left" vertical="center"/>
    </xf>
    <xf numFmtId="0" fontId="63" fillId="0" borderId="3" xfId="0" applyFont="1" applyFill="1" applyBorder="1" applyAlignment="1">
      <alignment horizontal="center" vertical="center"/>
    </xf>
    <xf numFmtId="0" fontId="74" fillId="0" borderId="16" xfId="0" applyFont="1" applyFill="1" applyBorder="1" applyAlignment="1">
      <alignment horizontal="left" vertical="center" wrapText="1"/>
    </xf>
    <xf numFmtId="0" fontId="75" fillId="0" borderId="16" xfId="0" applyFont="1" applyFill="1" applyBorder="1" applyAlignment="1">
      <alignment horizontal="left" vertical="center" wrapText="1"/>
    </xf>
    <xf numFmtId="49" fontId="77" fillId="0" borderId="3" xfId="0" applyNumberFormat="1" applyFont="1" applyFill="1" applyBorder="1" applyAlignment="1">
      <alignment horizontal="center" vertical="center"/>
    </xf>
    <xf numFmtId="0" fontId="77" fillId="0" borderId="16" xfId="0" applyFont="1" applyFill="1" applyBorder="1" applyAlignment="1">
      <alignment horizontal="left" vertical="center" wrapText="1"/>
    </xf>
    <xf numFmtId="0" fontId="77" fillId="0" borderId="3" xfId="0" applyFont="1" applyFill="1" applyBorder="1" applyAlignment="1">
      <alignment horizontal="center" vertical="center"/>
    </xf>
    <xf numFmtId="178" fontId="64" fillId="0" borderId="3" xfId="0" applyNumberFormat="1" applyFont="1" applyFill="1" applyBorder="1" applyAlignment="1">
      <alignment horizontal="center" vertical="center"/>
    </xf>
    <xf numFmtId="178" fontId="84" fillId="0" borderId="3" xfId="0" applyNumberFormat="1" applyFont="1" applyFill="1" applyBorder="1" applyAlignment="1">
      <alignment horizontal="center" vertical="center"/>
    </xf>
    <xf numFmtId="0" fontId="74" fillId="0" borderId="15" xfId="0" applyFont="1" applyFill="1" applyBorder="1" applyAlignment="1">
      <alignment vertical="center" wrapText="1"/>
    </xf>
    <xf numFmtId="0" fontId="76" fillId="0" borderId="3" xfId="0" applyFont="1" applyFill="1" applyBorder="1" applyAlignment="1">
      <alignment vertical="center" wrapText="1"/>
    </xf>
    <xf numFmtId="0" fontId="64" fillId="0" borderId="16" xfId="0" applyFont="1" applyFill="1" applyBorder="1" applyAlignment="1">
      <alignment horizontal="left" vertical="center"/>
    </xf>
    <xf numFmtId="0" fontId="75" fillId="0" borderId="3" xfId="0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vertical="center"/>
    </xf>
    <xf numFmtId="0" fontId="74" fillId="0" borderId="15" xfId="0" applyFont="1" applyFill="1" applyBorder="1" applyAlignment="1">
      <alignment vertical="center"/>
    </xf>
    <xf numFmtId="0" fontId="65" fillId="0" borderId="15" xfId="0" applyFont="1" applyFill="1" applyBorder="1" applyAlignment="1">
      <alignment vertical="center" wrapText="1"/>
    </xf>
    <xf numFmtId="0" fontId="76" fillId="0" borderId="15" xfId="0" applyFont="1" applyFill="1" applyBorder="1" applyAlignment="1">
      <alignment horizontal="left" vertical="center" wrapText="1"/>
    </xf>
    <xf numFmtId="0" fontId="76" fillId="0" borderId="15" xfId="0" applyFont="1" applyFill="1" applyBorder="1" applyAlignment="1">
      <alignment vertical="center"/>
    </xf>
    <xf numFmtId="0" fontId="76" fillId="0" borderId="3" xfId="0" applyFont="1" applyFill="1" applyBorder="1" applyAlignment="1">
      <alignment vertical="center"/>
    </xf>
    <xf numFmtId="0" fontId="77" fillId="0" borderId="3" xfId="0" applyFont="1" applyFill="1" applyBorder="1" applyAlignment="1">
      <alignment vertical="center" wrapText="1"/>
    </xf>
    <xf numFmtId="0" fontId="77" fillId="0" borderId="3" xfId="0" applyFont="1" applyFill="1" applyBorder="1" applyAlignment="1">
      <alignment horizontal="center" vertical="center" wrapText="1"/>
    </xf>
    <xf numFmtId="0" fontId="74" fillId="0" borderId="3" xfId="0" applyFont="1" applyFill="1" applyBorder="1" applyAlignment="1">
      <alignment vertical="center" wrapText="1"/>
    </xf>
    <xf numFmtId="0" fontId="76" fillId="0" borderId="3" xfId="0" applyFont="1" applyFill="1" applyBorder="1" applyAlignment="1">
      <alignment horizontal="left" vertical="center"/>
    </xf>
    <xf numFmtId="0" fontId="77" fillId="0" borderId="3" xfId="0" applyFont="1" applyFill="1" applyBorder="1" applyAlignment="1">
      <alignment horizontal="left" vertical="center"/>
    </xf>
    <xf numFmtId="49" fontId="63" fillId="0" borderId="3" xfId="0" applyNumberFormat="1" applyFont="1" applyFill="1" applyBorder="1" applyAlignment="1">
      <alignment horizontal="center" vertical="center"/>
    </xf>
    <xf numFmtId="0" fontId="76" fillId="0" borderId="13" xfId="0" applyFont="1" applyFill="1" applyBorder="1" applyAlignment="1">
      <alignment horizontal="left" vertical="center" wrapText="1"/>
    </xf>
    <xf numFmtId="0" fontId="63" fillId="0" borderId="3" xfId="0" applyFont="1" applyFill="1" applyBorder="1" applyAlignment="1">
      <alignment horizontal="left" vertical="center" wrapText="1"/>
    </xf>
    <xf numFmtId="49" fontId="65" fillId="0" borderId="3" xfId="0" applyNumberFormat="1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left" vertical="center" wrapText="1"/>
    </xf>
    <xf numFmtId="49" fontId="64" fillId="0" borderId="3" xfId="0" applyNumberFormat="1" applyFont="1" applyFill="1" applyBorder="1" applyAlignment="1">
      <alignment horizontal="center" vertical="center"/>
    </xf>
    <xf numFmtId="0" fontId="74" fillId="0" borderId="3" xfId="0" quotePrefix="1" applyFont="1" applyFill="1" applyBorder="1" applyAlignment="1">
      <alignment horizontal="center" vertical="center"/>
    </xf>
    <xf numFmtId="0" fontId="65" fillId="0" borderId="31" xfId="0" applyFont="1" applyFill="1" applyBorder="1" applyAlignment="1">
      <alignment horizontal="left" vertical="center"/>
    </xf>
    <xf numFmtId="0" fontId="63" fillId="0" borderId="15" xfId="0" applyFont="1" applyFill="1" applyBorder="1" applyAlignment="1">
      <alignment vertical="center" wrapText="1"/>
    </xf>
    <xf numFmtId="0" fontId="65" fillId="0" borderId="3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 wrapText="1"/>
    </xf>
    <xf numFmtId="0" fontId="76" fillId="0" borderId="31" xfId="0" applyFont="1" applyFill="1" applyBorder="1" applyAlignment="1">
      <alignment horizontal="left" vertical="center" wrapText="1"/>
    </xf>
    <xf numFmtId="0" fontId="74" fillId="0" borderId="31" xfId="0" applyFont="1" applyFill="1" applyBorder="1" applyAlignment="1">
      <alignment horizontal="left" vertical="center" wrapText="1"/>
    </xf>
    <xf numFmtId="178" fontId="75" fillId="0" borderId="3" xfId="0" applyNumberFormat="1" applyFont="1" applyFill="1" applyBorder="1" applyAlignment="1">
      <alignment horizontal="center" vertical="center" wrapText="1"/>
    </xf>
    <xf numFmtId="0" fontId="77" fillId="0" borderId="14" xfId="0" applyFont="1" applyFill="1" applyBorder="1" applyAlignment="1">
      <alignment horizontal="left" vertical="center"/>
    </xf>
    <xf numFmtId="179" fontId="73" fillId="0" borderId="3" xfId="0" applyNumberFormat="1" applyFont="1" applyFill="1" applyBorder="1" applyAlignment="1">
      <alignment horizontal="center" vertical="center"/>
    </xf>
    <xf numFmtId="178" fontId="74" fillId="0" borderId="3" xfId="0" applyNumberFormat="1" applyFont="1" applyFill="1" applyBorder="1" applyAlignment="1">
      <alignment horizontal="center" vertical="center" wrapText="1"/>
    </xf>
    <xf numFmtId="0" fontId="75" fillId="0" borderId="16" xfId="0" applyFont="1" applyFill="1" applyBorder="1" applyAlignment="1">
      <alignment horizontal="left" vertical="center"/>
    </xf>
    <xf numFmtId="0" fontId="77" fillId="0" borderId="3" xfId="0" applyFont="1" applyFill="1" applyBorder="1" applyAlignment="1">
      <alignment horizontal="left" vertical="center" wrapText="1"/>
    </xf>
    <xf numFmtId="0" fontId="63" fillId="0" borderId="0" xfId="0" applyFont="1" applyFill="1" applyBorder="1" applyAlignment="1">
      <alignment horizontal="center" vertical="center"/>
    </xf>
    <xf numFmtId="178" fontId="76" fillId="0" borderId="3" xfId="0" applyNumberFormat="1" applyFont="1" applyFill="1" applyBorder="1" applyAlignment="1">
      <alignment horizontal="center" vertical="center"/>
    </xf>
    <xf numFmtId="0" fontId="74" fillId="0" borderId="3" xfId="0" applyFont="1" applyFill="1" applyBorder="1" applyAlignment="1">
      <alignment horizontal="left" vertical="center"/>
    </xf>
    <xf numFmtId="178" fontId="73" fillId="0" borderId="0" xfId="0" applyNumberFormat="1" applyFont="1" applyFill="1" applyBorder="1" applyAlignment="1">
      <alignment horizontal="center" vertical="center"/>
    </xf>
    <xf numFmtId="0" fontId="74" fillId="0" borderId="17" xfId="0" applyFont="1" applyFill="1" applyBorder="1" applyAlignment="1">
      <alignment horizontal="left" vertical="center" wrapText="1"/>
    </xf>
    <xf numFmtId="0" fontId="63" fillId="0" borderId="18" xfId="0" applyFont="1" applyFill="1" applyBorder="1" applyAlignment="1">
      <alignment horizontal="left" vertical="center"/>
    </xf>
    <xf numFmtId="0" fontId="74" fillId="0" borderId="15" xfId="0" applyFont="1" applyFill="1" applyBorder="1" applyAlignment="1">
      <alignment horizontal="center" vertical="center" wrapText="1"/>
    </xf>
    <xf numFmtId="0" fontId="76" fillId="0" borderId="32" xfId="0" applyFont="1" applyFill="1" applyBorder="1" applyAlignment="1">
      <alignment vertical="center" wrapText="1"/>
    </xf>
    <xf numFmtId="0" fontId="75" fillId="0" borderId="3" xfId="0" applyFont="1" applyFill="1" applyBorder="1" applyAlignment="1">
      <alignment horizontal="left" vertical="center" wrapText="1"/>
    </xf>
    <xf numFmtId="0" fontId="73" fillId="0" borderId="0" xfId="0" applyFont="1" applyFill="1" applyBorder="1" applyAlignment="1">
      <alignment vertical="center"/>
    </xf>
    <xf numFmtId="0" fontId="64" fillId="0" borderId="3" xfId="0" applyFont="1" applyFill="1" applyBorder="1" applyAlignment="1">
      <alignment horizontal="left" vertical="center" wrapText="1"/>
    </xf>
    <xf numFmtId="49" fontId="73" fillId="0" borderId="16" xfId="0" applyNumberFormat="1" applyFont="1" applyFill="1" applyBorder="1" applyAlignment="1">
      <alignment horizontal="center" vertical="center"/>
    </xf>
    <xf numFmtId="0" fontId="73" fillId="0" borderId="17" xfId="0" applyFont="1" applyFill="1" applyBorder="1" applyAlignment="1">
      <alignment horizontal="left" vertical="center" wrapText="1"/>
    </xf>
    <xf numFmtId="49" fontId="63" fillId="0" borderId="16" xfId="0" applyNumberFormat="1" applyFont="1" applyFill="1" applyBorder="1" applyAlignment="1">
      <alignment horizontal="center" vertical="center"/>
    </xf>
    <xf numFmtId="0" fontId="63" fillId="0" borderId="17" xfId="0" applyFont="1" applyFill="1" applyBorder="1" applyAlignment="1">
      <alignment horizontal="left" vertical="center" wrapText="1"/>
    </xf>
    <xf numFmtId="0" fontId="65" fillId="0" borderId="17" xfId="0" applyFont="1" applyFill="1" applyBorder="1" applyAlignment="1">
      <alignment horizontal="left" vertical="center" wrapText="1"/>
    </xf>
    <xf numFmtId="178" fontId="65" fillId="0" borderId="3" xfId="0" applyNumberFormat="1" applyFont="1" applyFill="1" applyBorder="1" applyAlignment="1">
      <alignment vertical="center" wrapText="1"/>
    </xf>
    <xf numFmtId="178" fontId="73" fillId="0" borderId="3" xfId="0" applyNumberFormat="1" applyFont="1" applyFill="1" applyBorder="1" applyAlignment="1">
      <alignment vertical="center" wrapText="1"/>
    </xf>
    <xf numFmtId="170" fontId="63" fillId="0" borderId="3" xfId="0" applyNumberFormat="1" applyFont="1" applyFill="1" applyBorder="1" applyAlignment="1">
      <alignment vertical="center" wrapText="1"/>
    </xf>
    <xf numFmtId="0" fontId="63" fillId="0" borderId="3" xfId="0" applyFont="1" applyFill="1" applyBorder="1" applyAlignment="1">
      <alignment vertical="center"/>
    </xf>
    <xf numFmtId="0" fontId="79" fillId="0" borderId="3" xfId="0" applyFont="1" applyFill="1" applyBorder="1" applyAlignment="1">
      <alignment vertical="center"/>
    </xf>
    <xf numFmtId="170" fontId="65" fillId="0" borderId="3" xfId="0" applyNumberFormat="1" applyFont="1" applyFill="1" applyBorder="1" applyAlignment="1">
      <alignment vertical="center" wrapText="1"/>
    </xf>
    <xf numFmtId="170" fontId="65" fillId="0" borderId="3" xfId="0" applyNumberFormat="1" applyFont="1" applyFill="1" applyBorder="1" applyAlignment="1">
      <alignment horizontal="right" vertical="center" wrapText="1"/>
    </xf>
    <xf numFmtId="0" fontId="80" fillId="0" borderId="3" xfId="0" applyFont="1" applyFill="1" applyBorder="1" applyAlignment="1">
      <alignment vertical="center"/>
    </xf>
    <xf numFmtId="0" fontId="65" fillId="0" borderId="0" xfId="0" applyFont="1" applyFill="1" applyBorder="1" applyAlignment="1">
      <alignment horizontal="left" vertical="center" wrapText="1"/>
    </xf>
    <xf numFmtId="0" fontId="65" fillId="0" borderId="0" xfId="0" quotePrefix="1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center" wrapText="1"/>
    </xf>
    <xf numFmtId="0" fontId="65" fillId="0" borderId="0" xfId="0" applyFont="1" applyFill="1" applyBorder="1" applyAlignment="1">
      <alignment horizontal="center" vertical="top"/>
    </xf>
    <xf numFmtId="170" fontId="65" fillId="0" borderId="0" xfId="0" applyNumberFormat="1" applyFont="1" applyFill="1" applyBorder="1" applyAlignment="1">
      <alignment horizontal="center" vertical="center" wrapText="1"/>
    </xf>
    <xf numFmtId="170" fontId="65" fillId="0" borderId="0" xfId="0" applyNumberFormat="1" applyFont="1" applyFill="1" applyBorder="1" applyAlignment="1">
      <alignment horizontal="right" vertical="center" wrapText="1"/>
    </xf>
    <xf numFmtId="0" fontId="65" fillId="0" borderId="0" xfId="0" applyFont="1" applyFill="1" applyBorder="1" applyAlignment="1">
      <alignment vertical="center" wrapText="1"/>
    </xf>
    <xf numFmtId="0" fontId="65" fillId="0" borderId="18" xfId="0" applyFont="1" applyFill="1" applyBorder="1" applyAlignment="1">
      <alignment horizontal="center" vertical="center"/>
    </xf>
    <xf numFmtId="0" fontId="65" fillId="0" borderId="18" xfId="0" applyFont="1" applyFill="1" applyBorder="1" applyAlignment="1">
      <alignment horizontal="center" vertical="center" wrapText="1"/>
    </xf>
    <xf numFmtId="169" fontId="65" fillId="0" borderId="3" xfId="0" applyNumberFormat="1" applyFont="1" applyFill="1" applyBorder="1" applyAlignment="1">
      <alignment horizontal="center" vertical="center"/>
    </xf>
    <xf numFmtId="0" fontId="63" fillId="0" borderId="3" xfId="0" quotePrefix="1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vertical="center"/>
    </xf>
    <xf numFmtId="0" fontId="66" fillId="29" borderId="27" xfId="0" applyFont="1" applyFill="1" applyBorder="1" applyAlignment="1">
      <alignment horizontal="center" vertical="center" wrapText="1"/>
    </xf>
    <xf numFmtId="0" fontId="66" fillId="29" borderId="28" xfId="0" applyFont="1" applyFill="1" applyBorder="1" applyAlignment="1">
      <alignment horizontal="center" vertical="center" wrapText="1"/>
    </xf>
    <xf numFmtId="0" fontId="66" fillId="29" borderId="29" xfId="0" applyFont="1" applyFill="1" applyBorder="1" applyAlignment="1">
      <alignment horizontal="center" vertical="center" wrapText="1"/>
    </xf>
    <xf numFmtId="0" fontId="67" fillId="29" borderId="0" xfId="0" applyFont="1" applyFill="1" applyBorder="1" applyAlignment="1">
      <alignment horizontal="center" vertical="center"/>
    </xf>
    <xf numFmtId="0" fontId="67" fillId="29" borderId="0" xfId="0" applyFont="1" applyFill="1" applyBorder="1" applyAlignment="1">
      <alignment horizontal="center" vertical="center" wrapText="1"/>
    </xf>
    <xf numFmtId="0" fontId="62" fillId="29" borderId="3" xfId="0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67" fillId="29" borderId="21" xfId="0" applyFont="1" applyFill="1" applyBorder="1" applyAlignment="1">
      <alignment horizontal="center" vertical="center" wrapText="1"/>
    </xf>
    <xf numFmtId="0" fontId="67" fillId="29" borderId="18" xfId="0" applyFont="1" applyFill="1" applyBorder="1" applyAlignment="1">
      <alignment horizontal="center" vertical="center" wrapText="1"/>
    </xf>
    <xf numFmtId="0" fontId="67" fillId="29" borderId="33" xfId="0" applyFont="1" applyFill="1" applyBorder="1" applyAlignment="1">
      <alignment horizontal="center" vertical="center" wrapText="1"/>
    </xf>
    <xf numFmtId="0" fontId="62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horizontal="left" vertical="center"/>
    </xf>
    <xf numFmtId="170" fontId="62" fillId="29" borderId="13" xfId="0" applyNumberFormat="1" applyFont="1" applyFill="1" applyBorder="1" applyAlignment="1">
      <alignment horizontal="center" vertical="center" wrapText="1"/>
    </xf>
    <xf numFmtId="170" fontId="62" fillId="29" borderId="13" xfId="0" quotePrefix="1" applyNumberFormat="1" applyFont="1" applyFill="1" applyBorder="1" applyAlignment="1">
      <alignment horizontal="center" vertical="center" wrapText="1"/>
    </xf>
    <xf numFmtId="0" fontId="67" fillId="29" borderId="27" xfId="0" applyFont="1" applyFill="1" applyBorder="1" applyAlignment="1">
      <alignment horizontal="center" vertical="center"/>
    </xf>
    <xf numFmtId="0" fontId="67" fillId="29" borderId="28" xfId="0" applyFont="1" applyFill="1" applyBorder="1" applyAlignment="1">
      <alignment horizontal="center" vertical="center"/>
    </xf>
    <xf numFmtId="0" fontId="67" fillId="29" borderId="29" xfId="0" applyFont="1" applyFill="1" applyBorder="1" applyAlignment="1">
      <alignment horizontal="center" vertical="center"/>
    </xf>
    <xf numFmtId="0" fontId="67" fillId="29" borderId="30" xfId="0" applyFont="1" applyFill="1" applyBorder="1" applyAlignment="1">
      <alignment horizontal="center" vertical="center"/>
    </xf>
    <xf numFmtId="0" fontId="67" fillId="29" borderId="24" xfId="0" applyFont="1" applyFill="1" applyBorder="1" applyAlignment="1">
      <alignment horizontal="center" vertical="center"/>
    </xf>
    <xf numFmtId="0" fontId="67" fillId="29" borderId="25" xfId="0" applyFont="1" applyFill="1" applyBorder="1" applyAlignment="1">
      <alignment horizontal="center" vertical="center"/>
    </xf>
    <xf numFmtId="0" fontId="67" fillId="29" borderId="27" xfId="0" applyFont="1" applyFill="1" applyBorder="1" applyAlignment="1" applyProtection="1">
      <alignment horizontal="center" vertical="center"/>
      <protection locked="0"/>
    </xf>
    <xf numFmtId="0" fontId="67" fillId="29" borderId="28" xfId="0" applyFont="1" applyFill="1" applyBorder="1" applyAlignment="1" applyProtection="1">
      <alignment horizontal="center" vertical="center"/>
      <protection locked="0"/>
    </xf>
    <xf numFmtId="0" fontId="67" fillId="29" borderId="29" xfId="0" applyFont="1" applyFill="1" applyBorder="1" applyAlignment="1" applyProtection="1">
      <alignment horizontal="center" vertical="center"/>
      <protection locked="0"/>
    </xf>
    <xf numFmtId="0" fontId="63" fillId="29" borderId="13" xfId="0" applyFont="1" applyFill="1" applyBorder="1" applyAlignment="1">
      <alignment horizontal="left"/>
    </xf>
    <xf numFmtId="0" fontId="63" fillId="29" borderId="0" xfId="0" applyFont="1" applyFill="1" applyBorder="1" applyAlignment="1">
      <alignment horizontal="left"/>
    </xf>
    <xf numFmtId="0" fontId="62" fillId="29" borderId="15" xfId="0" applyFont="1" applyFill="1" applyBorder="1" applyAlignment="1">
      <alignment horizontal="center" vertical="center"/>
    </xf>
    <xf numFmtId="0" fontId="62" fillId="29" borderId="14" xfId="0" applyFont="1" applyFill="1" applyBorder="1" applyAlignment="1">
      <alignment horizontal="center" vertical="center"/>
    </xf>
    <xf numFmtId="0" fontId="62" fillId="29" borderId="16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center" vertical="center" wrapText="1"/>
    </xf>
    <xf numFmtId="170" fontId="65" fillId="0" borderId="13" xfId="0" applyNumberFormat="1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horizontal="left" vertical="center"/>
    </xf>
    <xf numFmtId="0" fontId="63" fillId="0" borderId="3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left" vertical="center" wrapText="1"/>
    </xf>
    <xf numFmtId="0" fontId="63" fillId="0" borderId="3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left" vertical="center"/>
    </xf>
    <xf numFmtId="0" fontId="70" fillId="0" borderId="0" xfId="0" applyFont="1" applyFill="1" applyBorder="1" applyAlignment="1">
      <alignment horizontal="center"/>
    </xf>
    <xf numFmtId="0" fontId="65" fillId="0" borderId="0" xfId="0" applyFont="1" applyFill="1" applyBorder="1" applyAlignment="1">
      <alignment horizontal="center" vertical="center"/>
    </xf>
    <xf numFmtId="0" fontId="65" fillId="0" borderId="19" xfId="0" applyFont="1" applyFill="1" applyBorder="1" applyAlignment="1">
      <alignment horizontal="center" vertical="top"/>
    </xf>
    <xf numFmtId="0" fontId="63" fillId="0" borderId="0" xfId="0" applyFont="1" applyFill="1" applyBorder="1" applyAlignment="1">
      <alignment horizontal="center" vertical="center" wrapText="1"/>
    </xf>
    <xf numFmtId="0" fontId="63" fillId="0" borderId="15" xfId="0" applyFont="1" applyFill="1" applyBorder="1" applyAlignment="1">
      <alignment horizontal="center" vertical="center"/>
    </xf>
    <xf numFmtId="0" fontId="63" fillId="0" borderId="16" xfId="0" applyFont="1" applyFill="1" applyBorder="1" applyAlignment="1">
      <alignment horizontal="center" vertical="center"/>
    </xf>
    <xf numFmtId="170" fontId="65" fillId="29" borderId="13" xfId="0" applyNumberFormat="1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left" vertical="center"/>
    </xf>
    <xf numFmtId="0" fontId="66" fillId="29" borderId="0" xfId="0" applyFont="1" applyFill="1" applyBorder="1" applyAlignment="1">
      <alignment horizontal="center" vertical="center" wrapText="1"/>
    </xf>
    <xf numFmtId="0" fontId="70" fillId="29" borderId="0" xfId="0" applyFont="1" applyFill="1" applyBorder="1" applyAlignment="1">
      <alignment horizontal="center"/>
    </xf>
    <xf numFmtId="0" fontId="66" fillId="0" borderId="0" xfId="0" applyFont="1" applyFill="1" applyBorder="1" applyAlignment="1">
      <alignment horizontal="center" vertical="center"/>
    </xf>
    <xf numFmtId="0" fontId="66" fillId="29" borderId="15" xfId="0" applyFont="1" applyFill="1" applyBorder="1" applyAlignment="1">
      <alignment horizontal="left" vertical="center" wrapText="1"/>
    </xf>
    <xf numFmtId="0" fontId="66" fillId="29" borderId="14" xfId="0" applyFont="1" applyFill="1" applyBorder="1" applyAlignment="1">
      <alignment horizontal="left" vertical="center" wrapText="1"/>
    </xf>
    <xf numFmtId="3" fontId="66" fillId="29" borderId="15" xfId="0" applyNumberFormat="1" applyFont="1" applyFill="1" applyBorder="1" applyAlignment="1">
      <alignment horizontal="left" vertical="center" wrapText="1"/>
    </xf>
    <xf numFmtId="3" fontId="66" fillId="29" borderId="14" xfId="0" applyNumberFormat="1" applyFont="1" applyFill="1" applyBorder="1" applyAlignment="1">
      <alignment horizontal="left" vertical="center" wrapText="1"/>
    </xf>
    <xf numFmtId="0" fontId="62" fillId="29" borderId="15" xfId="0" applyFont="1" applyFill="1" applyBorder="1" applyAlignment="1">
      <alignment horizontal="left" vertical="center" wrapText="1"/>
    </xf>
    <xf numFmtId="0" fontId="62" fillId="29" borderId="14" xfId="0" applyFont="1" applyFill="1" applyBorder="1" applyAlignment="1">
      <alignment horizontal="left" vertical="center" wrapText="1"/>
    </xf>
    <xf numFmtId="0" fontId="62" fillId="29" borderId="16" xfId="0" applyFont="1" applyFill="1" applyBorder="1" applyAlignment="1">
      <alignment horizontal="left" vertical="center" wrapText="1"/>
    </xf>
    <xf numFmtId="0" fontId="76" fillId="0" borderId="15" xfId="0" applyFont="1" applyBorder="1" applyAlignment="1">
      <alignment horizontal="left" wrapText="1"/>
    </xf>
    <xf numFmtId="0" fontId="76" fillId="0" borderId="14" xfId="0" applyFont="1" applyBorder="1" applyAlignment="1">
      <alignment horizontal="left" wrapText="1"/>
    </xf>
    <xf numFmtId="0" fontId="76" fillId="0" borderId="16" xfId="0" applyFont="1" applyBorder="1" applyAlignment="1">
      <alignment horizontal="left" wrapText="1"/>
    </xf>
    <xf numFmtId="0" fontId="76" fillId="0" borderId="15" xfId="0" applyFont="1" applyBorder="1" applyAlignment="1">
      <alignment horizontal="left"/>
    </xf>
    <xf numFmtId="0" fontId="76" fillId="0" borderId="14" xfId="0" applyFont="1" applyBorder="1" applyAlignment="1">
      <alignment horizontal="left"/>
    </xf>
    <xf numFmtId="0" fontId="76" fillId="0" borderId="16" xfId="0" applyFont="1" applyBorder="1" applyAlignment="1">
      <alignment horizontal="left"/>
    </xf>
    <xf numFmtId="0" fontId="76" fillId="29" borderId="15" xfId="0" applyFont="1" applyFill="1" applyBorder="1" applyAlignment="1">
      <alignment horizontal="left"/>
    </xf>
    <xf numFmtId="0" fontId="76" fillId="29" borderId="14" xfId="0" applyFont="1" applyFill="1" applyBorder="1" applyAlignment="1">
      <alignment horizontal="left"/>
    </xf>
    <xf numFmtId="0" fontId="76" fillId="29" borderId="16" xfId="0" applyFont="1" applyFill="1" applyBorder="1" applyAlignment="1">
      <alignment horizontal="left"/>
    </xf>
    <xf numFmtId="0" fontId="76" fillId="29" borderId="15" xfId="0" applyFont="1" applyFill="1" applyBorder="1" applyAlignment="1">
      <alignment horizontal="left" wrapText="1"/>
    </xf>
    <xf numFmtId="0" fontId="76" fillId="29" borderId="14" xfId="0" applyFont="1" applyFill="1" applyBorder="1" applyAlignment="1">
      <alignment horizontal="left" wrapText="1"/>
    </xf>
    <xf numFmtId="0" fontId="76" fillId="29" borderId="16" xfId="0" applyFont="1" applyFill="1" applyBorder="1" applyAlignment="1">
      <alignment horizontal="left" wrapText="1"/>
    </xf>
    <xf numFmtId="0" fontId="72" fillId="0" borderId="0" xfId="0" applyFont="1" applyFill="1" applyAlignment="1">
      <alignment vertical="center" wrapText="1"/>
    </xf>
    <xf numFmtId="0" fontId="62" fillId="0" borderId="0" xfId="0" applyFont="1" applyAlignment="1">
      <alignment vertical="center" wrapText="1"/>
    </xf>
    <xf numFmtId="0" fontId="69" fillId="29" borderId="0" xfId="0" applyFont="1" applyFill="1" applyBorder="1" applyAlignment="1">
      <alignment horizontal="center" wrapText="1"/>
    </xf>
    <xf numFmtId="0" fontId="71" fillId="29" borderId="0" xfId="0" applyFont="1" applyFill="1" applyAlignment="1">
      <alignment horizontal="center"/>
    </xf>
    <xf numFmtId="0" fontId="62" fillId="29" borderId="0" xfId="0" applyFont="1" applyFill="1" applyBorder="1" applyAlignment="1">
      <alignment horizontal="center"/>
    </xf>
    <xf numFmtId="0" fontId="62" fillId="29" borderId="0" xfId="0" applyFont="1" applyFill="1" applyAlignment="1">
      <alignment horizontal="center" vertical="center"/>
    </xf>
    <xf numFmtId="0" fontId="65" fillId="29" borderId="15" xfId="0" applyFont="1" applyFill="1" applyBorder="1" applyAlignment="1">
      <alignment horizontal="left" vertical="center" wrapText="1"/>
    </xf>
    <xf numFmtId="0" fontId="65" fillId="29" borderId="14" xfId="0" applyFont="1" applyFill="1" applyBorder="1" applyAlignment="1">
      <alignment horizontal="left" vertical="center" wrapText="1"/>
    </xf>
    <xf numFmtId="0" fontId="65" fillId="29" borderId="16" xfId="0" applyFont="1" applyFill="1" applyBorder="1" applyAlignment="1">
      <alignment horizontal="left" vertical="center" wrapText="1"/>
    </xf>
    <xf numFmtId="43" fontId="76" fillId="29" borderId="15" xfId="354" applyFont="1" applyFill="1" applyBorder="1" applyAlignment="1">
      <alignment horizontal="left" wrapText="1"/>
    </xf>
    <xf numFmtId="43" fontId="76" fillId="29" borderId="14" xfId="354" applyFont="1" applyFill="1" applyBorder="1" applyAlignment="1">
      <alignment horizontal="left" wrapText="1"/>
    </xf>
    <xf numFmtId="43" fontId="76" fillId="29" borderId="16" xfId="354" applyFont="1" applyFill="1" applyBorder="1" applyAlignment="1">
      <alignment horizontal="left" wrapText="1"/>
    </xf>
  </cellXfs>
  <cellStyles count="355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Звичайний 2" xfId="353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" xfId="354" builtinId="3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9" Type="http://schemas.openxmlformats.org/officeDocument/2006/relationships/externalLink" Target="externalLinks/externalLink3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4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externalLink" Target="externalLinks/externalLink26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T251"/>
  <sheetViews>
    <sheetView view="pageBreakPreview" topLeftCell="A73" zoomScale="60" zoomScaleNormal="75" workbookViewId="0">
      <selection activeCell="L81" sqref="L81"/>
    </sheetView>
  </sheetViews>
  <sheetFormatPr defaultRowHeight="20.25"/>
  <cols>
    <col min="1" max="1" width="65.42578125" style="101" customWidth="1"/>
    <col min="2" max="2" width="17.28515625" style="26" customWidth="1"/>
    <col min="3" max="4" width="18" style="26" customWidth="1"/>
    <col min="5" max="5" width="18.7109375" style="101" customWidth="1"/>
    <col min="6" max="6" width="19" style="101" customWidth="1"/>
    <col min="7" max="7" width="18.7109375" style="101" customWidth="1"/>
    <col min="8" max="8" width="19.7109375" style="101" customWidth="1"/>
    <col min="9" max="9" width="10" style="101" customWidth="1"/>
    <col min="10" max="10" width="11.85546875" style="101" customWidth="1"/>
    <col min="11" max="11" width="12.140625" style="101" customWidth="1"/>
    <col min="12" max="12" width="22" style="101" customWidth="1"/>
    <col min="13" max="13" width="17" style="101" customWidth="1"/>
    <col min="14" max="15" width="11.7109375" style="101" customWidth="1"/>
    <col min="16" max="16" width="9.140625" style="101"/>
    <col min="17" max="17" width="11.42578125" style="101" bestFit="1" customWidth="1"/>
    <col min="18" max="19" width="9.140625" style="101"/>
    <col min="20" max="20" width="11.140625" style="101" bestFit="1" customWidth="1"/>
    <col min="21" max="16384" width="9.140625" style="101"/>
  </cols>
  <sheetData>
    <row r="1" spans="1:16" ht="91.5" customHeight="1">
      <c r="A1" s="285" t="s">
        <v>541</v>
      </c>
      <c r="B1" s="284"/>
      <c r="C1" s="284"/>
      <c r="D1" s="284"/>
      <c r="E1" s="284"/>
      <c r="F1" s="284"/>
      <c r="G1" s="284"/>
      <c r="H1" s="284"/>
    </row>
    <row r="2" spans="1:16" ht="30" customHeight="1">
      <c r="A2" s="284" t="s">
        <v>18</v>
      </c>
      <c r="B2" s="284"/>
      <c r="C2" s="284"/>
      <c r="D2" s="284"/>
      <c r="E2" s="284"/>
      <c r="F2" s="284"/>
      <c r="G2" s="284"/>
      <c r="H2" s="284"/>
    </row>
    <row r="3" spans="1:16" ht="23.25" customHeight="1">
      <c r="B3" s="102"/>
      <c r="C3" s="97"/>
      <c r="D3" s="102"/>
      <c r="E3" s="102"/>
      <c r="F3" s="102"/>
      <c r="G3" s="102"/>
      <c r="H3" s="103" t="s">
        <v>56</v>
      </c>
    </row>
    <row r="4" spans="1:16" ht="48.75" customHeight="1">
      <c r="A4" s="286" t="s">
        <v>23</v>
      </c>
      <c r="B4" s="287" t="s">
        <v>5</v>
      </c>
      <c r="C4" s="287" t="s">
        <v>121</v>
      </c>
      <c r="D4" s="287"/>
      <c r="E4" s="286" t="s">
        <v>495</v>
      </c>
      <c r="F4" s="286"/>
      <c r="G4" s="286"/>
      <c r="H4" s="286"/>
    </row>
    <row r="5" spans="1:16" ht="47.25" customHeight="1">
      <c r="A5" s="286"/>
      <c r="B5" s="287"/>
      <c r="C5" s="135" t="s">
        <v>415</v>
      </c>
      <c r="D5" s="135" t="s">
        <v>416</v>
      </c>
      <c r="E5" s="4" t="s">
        <v>107</v>
      </c>
      <c r="F5" s="4" t="s">
        <v>108</v>
      </c>
      <c r="G5" s="4" t="s">
        <v>109</v>
      </c>
      <c r="H5" s="4" t="s">
        <v>110</v>
      </c>
    </row>
    <row r="6" spans="1:16" ht="29.25" customHeight="1">
      <c r="A6" s="6">
        <v>1</v>
      </c>
      <c r="B6" s="135">
        <v>2</v>
      </c>
      <c r="C6" s="135">
        <v>3</v>
      </c>
      <c r="D6" s="135">
        <v>5</v>
      </c>
      <c r="E6" s="135">
        <v>7</v>
      </c>
      <c r="F6" s="135">
        <v>8</v>
      </c>
      <c r="G6" s="135">
        <v>9</v>
      </c>
      <c r="H6" s="135">
        <v>10</v>
      </c>
    </row>
    <row r="7" spans="1:16" ht="33" customHeight="1">
      <c r="A7" s="288" t="s">
        <v>98</v>
      </c>
      <c r="B7" s="289"/>
      <c r="C7" s="289"/>
      <c r="D7" s="289"/>
      <c r="E7" s="289"/>
      <c r="F7" s="289"/>
      <c r="G7" s="289"/>
      <c r="H7" s="290"/>
      <c r="L7" s="22"/>
      <c r="M7" s="22"/>
      <c r="N7" s="115"/>
      <c r="O7" s="115"/>
      <c r="P7" s="115"/>
    </row>
    <row r="8" spans="1:16" ht="48.75" customHeight="1">
      <c r="A8" s="9" t="s">
        <v>122</v>
      </c>
      <c r="B8" s="5">
        <v>1000</v>
      </c>
      <c r="C8" s="1">
        <v>56359</v>
      </c>
      <c r="D8" s="1">
        <v>63308.1</v>
      </c>
      <c r="E8" s="1">
        <v>58089.1</v>
      </c>
      <c r="F8" s="1">
        <f>D8</f>
        <v>63308.1</v>
      </c>
      <c r="G8" s="1">
        <f>F8-E8</f>
        <v>5219</v>
      </c>
      <c r="H8" s="57">
        <f>(F8/E8)*100</f>
        <v>108.98447385137659</v>
      </c>
      <c r="L8" s="22"/>
      <c r="M8" s="22"/>
      <c r="N8" s="23"/>
      <c r="O8" s="23"/>
      <c r="P8" s="23"/>
    </row>
    <row r="9" spans="1:16" ht="47.25" customHeight="1">
      <c r="A9" s="9" t="s">
        <v>66</v>
      </c>
      <c r="B9" s="5">
        <v>1010</v>
      </c>
      <c r="C9" s="1">
        <f>SUM(C10:C14)</f>
        <v>-65141.1</v>
      </c>
      <c r="D9" s="1">
        <f>SUM(D10:D14)</f>
        <v>-75995.8</v>
      </c>
      <c r="E9" s="1">
        <f>SUM(E10:E14)</f>
        <v>-62111.9</v>
      </c>
      <c r="F9" s="1">
        <f t="shared" ref="F9:F43" si="0">D9</f>
        <v>-75995.8</v>
      </c>
      <c r="G9" s="1">
        <f t="shared" ref="G9:G43" si="1">F9-E9</f>
        <v>-13883.900000000001</v>
      </c>
      <c r="H9" s="57">
        <f t="shared" ref="H9:H43" si="2">(F9/E9)*100</f>
        <v>122.35304345866089</v>
      </c>
      <c r="L9" s="22"/>
      <c r="M9" s="22"/>
      <c r="N9" s="91"/>
      <c r="O9" s="91"/>
      <c r="P9" s="91"/>
    </row>
    <row r="10" spans="1:16" ht="30" customHeight="1">
      <c r="A10" s="11" t="s">
        <v>67</v>
      </c>
      <c r="B10" s="6">
        <v>1011</v>
      </c>
      <c r="C10" s="7">
        <v>-12265.4</v>
      </c>
      <c r="D10" s="7">
        <v>-10908.5</v>
      </c>
      <c r="E10" s="7">
        <v>-9021.5</v>
      </c>
      <c r="F10" s="7">
        <f t="shared" si="0"/>
        <v>-10908.5</v>
      </c>
      <c r="G10" s="7">
        <f t="shared" si="1"/>
        <v>-1887</v>
      </c>
      <c r="H10" s="58">
        <f t="shared" si="2"/>
        <v>120.91669899684088</v>
      </c>
      <c r="L10" s="22"/>
      <c r="M10" s="84"/>
      <c r="N10" s="92"/>
      <c r="O10" s="92"/>
      <c r="P10" s="92"/>
    </row>
    <row r="11" spans="1:16" ht="28.5" customHeight="1">
      <c r="A11" s="11" t="s">
        <v>2</v>
      </c>
      <c r="B11" s="6">
        <v>1012</v>
      </c>
      <c r="C11" s="7">
        <v>-38672.300000000003</v>
      </c>
      <c r="D11" s="7">
        <v>-46963</v>
      </c>
      <c r="E11" s="7">
        <v>-37239.599999999999</v>
      </c>
      <c r="F11" s="7">
        <f t="shared" si="0"/>
        <v>-46963</v>
      </c>
      <c r="G11" s="7">
        <f t="shared" si="1"/>
        <v>-9723.4000000000015</v>
      </c>
      <c r="H11" s="58">
        <f t="shared" si="2"/>
        <v>126.11037712542563</v>
      </c>
      <c r="L11" s="22"/>
      <c r="M11" s="84"/>
      <c r="N11" s="93"/>
      <c r="O11" s="93"/>
      <c r="P11" s="93"/>
    </row>
    <row r="12" spans="1:16" ht="29.25" customHeight="1">
      <c r="A12" s="11" t="s">
        <v>3</v>
      </c>
      <c r="B12" s="6">
        <v>1013</v>
      </c>
      <c r="C12" s="7">
        <v>-8180.7</v>
      </c>
      <c r="D12" s="7">
        <v>-9860.7000000000007</v>
      </c>
      <c r="E12" s="7">
        <v>-8006.8</v>
      </c>
      <c r="F12" s="7">
        <f t="shared" si="0"/>
        <v>-9860.7000000000007</v>
      </c>
      <c r="G12" s="7">
        <f t="shared" si="1"/>
        <v>-1853.9000000000005</v>
      </c>
      <c r="H12" s="58">
        <f t="shared" si="2"/>
        <v>123.1540690413149</v>
      </c>
      <c r="L12" s="22"/>
      <c r="M12" s="84"/>
      <c r="N12" s="93"/>
      <c r="O12" s="93"/>
      <c r="P12" s="93"/>
    </row>
    <row r="13" spans="1:16" ht="29.25" customHeight="1">
      <c r="A13" s="11" t="s">
        <v>4</v>
      </c>
      <c r="B13" s="6">
        <v>1014</v>
      </c>
      <c r="C13" s="7">
        <v>-1288.0999999999999</v>
      </c>
      <c r="D13" s="7">
        <v>-1671.1</v>
      </c>
      <c r="E13" s="7"/>
      <c r="F13" s="7">
        <f t="shared" si="0"/>
        <v>-1671.1</v>
      </c>
      <c r="G13" s="7">
        <f t="shared" si="1"/>
        <v>-1671.1</v>
      </c>
      <c r="H13" s="58" t="e">
        <f t="shared" si="2"/>
        <v>#DIV/0!</v>
      </c>
      <c r="L13" s="22"/>
      <c r="M13" s="84"/>
      <c r="N13" s="93"/>
      <c r="O13" s="93"/>
      <c r="P13" s="93"/>
    </row>
    <row r="14" spans="1:16" ht="30" customHeight="1">
      <c r="A14" s="11" t="s">
        <v>49</v>
      </c>
      <c r="B14" s="6">
        <v>1015</v>
      </c>
      <c r="C14" s="7">
        <v>-4734.6000000000004</v>
      </c>
      <c r="D14" s="7">
        <v>-6592.5</v>
      </c>
      <c r="E14" s="7">
        <v>-7844</v>
      </c>
      <c r="F14" s="7">
        <f t="shared" si="0"/>
        <v>-6592.5</v>
      </c>
      <c r="G14" s="7">
        <f t="shared" si="1"/>
        <v>1251.5</v>
      </c>
      <c r="H14" s="58">
        <f t="shared" si="2"/>
        <v>84.045130035696076</v>
      </c>
      <c r="L14" s="22"/>
      <c r="M14" s="84"/>
      <c r="N14" s="93"/>
      <c r="O14" s="93"/>
      <c r="P14" s="93"/>
    </row>
    <row r="15" spans="1:16" ht="28.5" customHeight="1">
      <c r="A15" s="9" t="s">
        <v>25</v>
      </c>
      <c r="B15" s="6">
        <v>1020</v>
      </c>
      <c r="C15" s="1">
        <f>SUM(C8:C9)</f>
        <v>-8782.0999999999985</v>
      </c>
      <c r="D15" s="1">
        <f>SUM(D8:D9)</f>
        <v>-12687.700000000004</v>
      </c>
      <c r="E15" s="1">
        <f>SUM(E8:E9)</f>
        <v>-4022.8000000000029</v>
      </c>
      <c r="F15" s="1">
        <f t="shared" si="0"/>
        <v>-12687.700000000004</v>
      </c>
      <c r="G15" s="1">
        <f t="shared" si="1"/>
        <v>-8664.9000000000015</v>
      </c>
      <c r="H15" s="57">
        <f t="shared" si="2"/>
        <v>315.39474992542495</v>
      </c>
    </row>
    <row r="16" spans="1:16" ht="27.75" customHeight="1">
      <c r="A16" s="9" t="s">
        <v>88</v>
      </c>
      <c r="B16" s="5">
        <v>1020</v>
      </c>
      <c r="C16" s="1">
        <f>SUM(C17:C21)</f>
        <v>-4308.8999999999996</v>
      </c>
      <c r="D16" s="1">
        <f>SUM(D17:D21)</f>
        <v>-5405.6</v>
      </c>
      <c r="E16" s="1">
        <f>SUM(E17:E21)</f>
        <v>-3514.5</v>
      </c>
      <c r="F16" s="1">
        <f t="shared" si="0"/>
        <v>-5405.6</v>
      </c>
      <c r="G16" s="1">
        <f t="shared" si="1"/>
        <v>-1891.1000000000004</v>
      </c>
      <c r="H16" s="57">
        <f t="shared" si="2"/>
        <v>153.80850761132453</v>
      </c>
    </row>
    <row r="17" spans="1:8" ht="27.75" customHeight="1">
      <c r="A17" s="11" t="s">
        <v>67</v>
      </c>
      <c r="B17" s="6">
        <v>1021</v>
      </c>
      <c r="C17" s="7">
        <v>-64.8</v>
      </c>
      <c r="D17" s="7">
        <v>-27.2</v>
      </c>
      <c r="E17" s="7">
        <v>-39</v>
      </c>
      <c r="F17" s="7">
        <f t="shared" si="0"/>
        <v>-27.2</v>
      </c>
      <c r="G17" s="7">
        <f t="shared" si="1"/>
        <v>11.8</v>
      </c>
      <c r="H17" s="58">
        <f t="shared" si="2"/>
        <v>69.743589743589737</v>
      </c>
    </row>
    <row r="18" spans="1:8" ht="27.75" customHeight="1">
      <c r="A18" s="11" t="s">
        <v>2</v>
      </c>
      <c r="B18" s="6">
        <v>1022</v>
      </c>
      <c r="C18" s="7">
        <v>-2967.7</v>
      </c>
      <c r="D18" s="7">
        <v>-3283.4</v>
      </c>
      <c r="E18" s="7">
        <v>-2694</v>
      </c>
      <c r="F18" s="7">
        <f t="shared" si="0"/>
        <v>-3283.4</v>
      </c>
      <c r="G18" s="7">
        <f t="shared" si="1"/>
        <v>-589.40000000000009</v>
      </c>
      <c r="H18" s="58">
        <f t="shared" si="2"/>
        <v>121.87824795842614</v>
      </c>
    </row>
    <row r="19" spans="1:8" ht="27.75" customHeight="1">
      <c r="A19" s="11" t="s">
        <v>3</v>
      </c>
      <c r="B19" s="6">
        <v>1023</v>
      </c>
      <c r="C19" s="7">
        <v>-659.6</v>
      </c>
      <c r="D19" s="7">
        <v>-710.7</v>
      </c>
      <c r="E19" s="7">
        <v>-579.20000000000005</v>
      </c>
      <c r="F19" s="7">
        <f t="shared" si="0"/>
        <v>-710.7</v>
      </c>
      <c r="G19" s="7">
        <f t="shared" si="1"/>
        <v>-131.5</v>
      </c>
      <c r="H19" s="58">
        <f t="shared" si="2"/>
        <v>122.70372928176796</v>
      </c>
    </row>
    <row r="20" spans="1:8" ht="27.75" customHeight="1">
      <c r="A20" s="11" t="s">
        <v>4</v>
      </c>
      <c r="B20" s="6">
        <v>1024</v>
      </c>
      <c r="C20" s="7">
        <v>-406.4</v>
      </c>
      <c r="D20" s="7">
        <v>-921.6</v>
      </c>
      <c r="E20" s="7"/>
      <c r="F20" s="7">
        <f t="shared" si="0"/>
        <v>-921.6</v>
      </c>
      <c r="G20" s="7">
        <f t="shared" si="1"/>
        <v>-921.6</v>
      </c>
      <c r="H20" s="139" t="e">
        <f t="shared" si="2"/>
        <v>#DIV/0!</v>
      </c>
    </row>
    <row r="21" spans="1:8" ht="27.75" customHeight="1">
      <c r="A21" s="11" t="s">
        <v>68</v>
      </c>
      <c r="B21" s="6">
        <v>1025</v>
      </c>
      <c r="C21" s="7">
        <v>-210.4</v>
      </c>
      <c r="D21" s="7">
        <v>-462.7</v>
      </c>
      <c r="E21" s="7">
        <v>-202.3</v>
      </c>
      <c r="F21" s="7">
        <f t="shared" si="0"/>
        <v>-462.7</v>
      </c>
      <c r="G21" s="7">
        <f t="shared" si="1"/>
        <v>-260.39999999999998</v>
      </c>
      <c r="H21" s="58">
        <f t="shared" si="2"/>
        <v>228.71972318339098</v>
      </c>
    </row>
    <row r="22" spans="1:8" ht="33" customHeight="1">
      <c r="A22" s="9" t="s">
        <v>35</v>
      </c>
      <c r="B22" s="5">
        <v>1040</v>
      </c>
      <c r="C22" s="1">
        <f>SUM(C23:C24)</f>
        <v>14045.8</v>
      </c>
      <c r="D22" s="1">
        <f>SUM(D23:D24)</f>
        <v>12521.6</v>
      </c>
      <c r="E22" s="1">
        <f>SUM(E23:E24)</f>
        <v>7799.1</v>
      </c>
      <c r="F22" s="1">
        <f t="shared" si="0"/>
        <v>12521.6</v>
      </c>
      <c r="G22" s="1">
        <f t="shared" si="1"/>
        <v>4722.5</v>
      </c>
      <c r="H22" s="57">
        <f t="shared" si="2"/>
        <v>160.55185854778117</v>
      </c>
    </row>
    <row r="23" spans="1:8" ht="30.75" customHeight="1">
      <c r="A23" s="11" t="s">
        <v>36</v>
      </c>
      <c r="B23" s="6">
        <v>1041</v>
      </c>
      <c r="C23" s="7"/>
      <c r="D23" s="7"/>
      <c r="E23" s="7"/>
      <c r="F23" s="1">
        <f t="shared" si="0"/>
        <v>0</v>
      </c>
      <c r="G23" s="7">
        <f t="shared" si="1"/>
        <v>0</v>
      </c>
      <c r="H23" s="139" t="e">
        <f t="shared" si="2"/>
        <v>#DIV/0!</v>
      </c>
    </row>
    <row r="24" spans="1:8" ht="27.75" customHeight="1">
      <c r="A24" s="11" t="s">
        <v>37</v>
      </c>
      <c r="B24" s="6">
        <v>1042</v>
      </c>
      <c r="C24" s="7">
        <v>14045.8</v>
      </c>
      <c r="D24" s="7">
        <v>12521.6</v>
      </c>
      <c r="E24" s="7">
        <v>7799.1</v>
      </c>
      <c r="F24" s="1">
        <f t="shared" si="0"/>
        <v>12521.6</v>
      </c>
      <c r="G24" s="7">
        <f t="shared" si="1"/>
        <v>4722.5</v>
      </c>
      <c r="H24" s="58">
        <f t="shared" si="2"/>
        <v>160.55185854778117</v>
      </c>
    </row>
    <row r="25" spans="1:8" ht="31.5" customHeight="1">
      <c r="A25" s="9" t="s">
        <v>12</v>
      </c>
      <c r="B25" s="5">
        <v>1030</v>
      </c>
      <c r="C25" s="1">
        <f>SUM(C26:C30)</f>
        <v>-475.09999999999997</v>
      </c>
      <c r="D25" s="1">
        <f>SUM(D26:D30)</f>
        <v>-782.09999999999991</v>
      </c>
      <c r="E25" s="1">
        <f>SUM(E26:E30)</f>
        <v>-279.7</v>
      </c>
      <c r="F25" s="1">
        <f t="shared" si="0"/>
        <v>-782.09999999999991</v>
      </c>
      <c r="G25" s="1">
        <f t="shared" si="1"/>
        <v>-502.39999999999992</v>
      </c>
      <c r="H25" s="57">
        <f t="shared" si="2"/>
        <v>279.62102252413297</v>
      </c>
    </row>
    <row r="26" spans="1:8" ht="27.75" customHeight="1">
      <c r="A26" s="11" t="s">
        <v>67</v>
      </c>
      <c r="B26" s="6">
        <v>1031</v>
      </c>
      <c r="C26" s="7" t="s">
        <v>26</v>
      </c>
      <c r="D26" s="7" t="s">
        <v>26</v>
      </c>
      <c r="E26" s="7" t="s">
        <v>26</v>
      </c>
      <c r="F26" s="7" t="str">
        <f t="shared" si="0"/>
        <v>(    )</v>
      </c>
      <c r="G26" s="140" t="e">
        <f t="shared" si="1"/>
        <v>#VALUE!</v>
      </c>
      <c r="H26" s="139" t="e">
        <f t="shared" si="2"/>
        <v>#VALUE!</v>
      </c>
    </row>
    <row r="27" spans="1:8" ht="27.75" customHeight="1">
      <c r="A27" s="11" t="s">
        <v>2</v>
      </c>
      <c r="B27" s="6">
        <v>1032</v>
      </c>
      <c r="C27" s="7">
        <v>-246.7</v>
      </c>
      <c r="D27" s="7">
        <v>-533.29999999999995</v>
      </c>
      <c r="E27" s="7"/>
      <c r="F27" s="7">
        <f t="shared" si="0"/>
        <v>-533.29999999999995</v>
      </c>
      <c r="G27" s="7">
        <f t="shared" si="1"/>
        <v>-533.29999999999995</v>
      </c>
      <c r="H27" s="139" t="e">
        <f t="shared" si="2"/>
        <v>#DIV/0!</v>
      </c>
    </row>
    <row r="28" spans="1:8" ht="27.75" customHeight="1">
      <c r="A28" s="11" t="s">
        <v>3</v>
      </c>
      <c r="B28" s="6">
        <v>1033</v>
      </c>
      <c r="C28" s="7">
        <v>-95.2</v>
      </c>
      <c r="D28" s="7">
        <v>-146.30000000000001</v>
      </c>
      <c r="E28" s="7"/>
      <c r="F28" s="7">
        <f t="shared" si="0"/>
        <v>-146.30000000000001</v>
      </c>
      <c r="G28" s="7">
        <f t="shared" si="1"/>
        <v>-146.30000000000001</v>
      </c>
      <c r="H28" s="139" t="e">
        <f t="shared" si="2"/>
        <v>#DIV/0!</v>
      </c>
    </row>
    <row r="29" spans="1:8" ht="27.75" customHeight="1">
      <c r="A29" s="11" t="s">
        <v>4</v>
      </c>
      <c r="B29" s="6">
        <v>1034</v>
      </c>
      <c r="C29" s="7"/>
      <c r="D29" s="7"/>
      <c r="E29" s="7"/>
      <c r="F29" s="7">
        <f t="shared" si="0"/>
        <v>0</v>
      </c>
      <c r="G29" s="7">
        <f t="shared" si="1"/>
        <v>0</v>
      </c>
      <c r="H29" s="139" t="e">
        <f t="shared" si="2"/>
        <v>#DIV/0!</v>
      </c>
    </row>
    <row r="30" spans="1:8" ht="27.75" customHeight="1">
      <c r="A30" s="11" t="s">
        <v>69</v>
      </c>
      <c r="B30" s="6">
        <v>1035</v>
      </c>
      <c r="C30" s="7">
        <v>-133.19999999999999</v>
      </c>
      <c r="D30" s="7">
        <v>-102.5</v>
      </c>
      <c r="E30" s="7">
        <v>-279.7</v>
      </c>
      <c r="F30" s="7">
        <f t="shared" si="0"/>
        <v>-102.5</v>
      </c>
      <c r="G30" s="7">
        <f t="shared" si="1"/>
        <v>177.2</v>
      </c>
      <c r="H30" s="58">
        <f t="shared" si="2"/>
        <v>36.646406864497678</v>
      </c>
    </row>
    <row r="31" spans="1:8" ht="47.25" customHeight="1">
      <c r="A31" s="9" t="s">
        <v>1</v>
      </c>
      <c r="B31" s="6">
        <v>1100</v>
      </c>
      <c r="C31" s="1">
        <f>SUM(C15,C16,C22,C25)</f>
        <v>479.70000000000113</v>
      </c>
      <c r="D31" s="1">
        <f>SUM(D15,D16,D22,D25)</f>
        <v>-6353.8000000000029</v>
      </c>
      <c r="E31" s="1">
        <f>SUM(E15,E16,E22,E25)</f>
        <v>-17.900000000002535</v>
      </c>
      <c r="F31" s="1">
        <f t="shared" si="0"/>
        <v>-6353.8000000000029</v>
      </c>
      <c r="G31" s="1">
        <f t="shared" si="1"/>
        <v>-6335.9000000000005</v>
      </c>
      <c r="H31" s="57">
        <f t="shared" si="2"/>
        <v>35496.089385469852</v>
      </c>
    </row>
    <row r="32" spans="1:8" ht="27.75" customHeight="1">
      <c r="A32" s="9" t="s">
        <v>123</v>
      </c>
      <c r="B32" s="5">
        <v>1130</v>
      </c>
      <c r="C32" s="1">
        <v>21.1</v>
      </c>
      <c r="D32" s="1">
        <v>38.799999999999997</v>
      </c>
      <c r="E32" s="1">
        <v>17.899999999999999</v>
      </c>
      <c r="F32" s="1">
        <f t="shared" si="0"/>
        <v>38.799999999999997</v>
      </c>
      <c r="G32" s="1">
        <f t="shared" si="1"/>
        <v>20.9</v>
      </c>
      <c r="H32" s="57">
        <f t="shared" si="2"/>
        <v>216.75977653631287</v>
      </c>
    </row>
    <row r="33" spans="1:17" ht="27.75" customHeight="1">
      <c r="A33" s="53" t="s">
        <v>124</v>
      </c>
      <c r="B33" s="5">
        <v>1140</v>
      </c>
      <c r="C33" s="1" t="s">
        <v>26</v>
      </c>
      <c r="D33" s="1" t="s">
        <v>26</v>
      </c>
      <c r="E33" s="7" t="s">
        <v>26</v>
      </c>
      <c r="F33" s="1" t="str">
        <f t="shared" si="0"/>
        <v>(    )</v>
      </c>
      <c r="G33" s="138" t="e">
        <f t="shared" si="1"/>
        <v>#VALUE!</v>
      </c>
      <c r="H33" s="137" t="e">
        <f t="shared" si="2"/>
        <v>#VALUE!</v>
      </c>
    </row>
    <row r="34" spans="1:17" ht="27.75" customHeight="1">
      <c r="A34" s="9" t="s">
        <v>125</v>
      </c>
      <c r="B34" s="5">
        <v>1150</v>
      </c>
      <c r="C34" s="1">
        <v>1531.3</v>
      </c>
      <c r="D34" s="1">
        <v>2541.3000000000002</v>
      </c>
      <c r="E34" s="1">
        <v>0</v>
      </c>
      <c r="F34" s="1">
        <f t="shared" si="0"/>
        <v>2541.3000000000002</v>
      </c>
      <c r="G34" s="1">
        <f t="shared" si="1"/>
        <v>2541.3000000000002</v>
      </c>
      <c r="H34" s="137" t="e">
        <f t="shared" si="2"/>
        <v>#DIV/0!</v>
      </c>
    </row>
    <row r="35" spans="1:17" ht="27.75" customHeight="1">
      <c r="A35" s="9" t="s">
        <v>126</v>
      </c>
      <c r="B35" s="5">
        <v>1160</v>
      </c>
      <c r="C35" s="1" t="s">
        <v>26</v>
      </c>
      <c r="D35" s="1" t="s">
        <v>26</v>
      </c>
      <c r="E35" s="7" t="s">
        <v>26</v>
      </c>
      <c r="F35" s="1" t="str">
        <f t="shared" si="0"/>
        <v>(    )</v>
      </c>
      <c r="G35" s="138" t="e">
        <f t="shared" si="1"/>
        <v>#VALUE!</v>
      </c>
      <c r="H35" s="137" t="e">
        <f t="shared" si="2"/>
        <v>#VALUE!</v>
      </c>
    </row>
    <row r="36" spans="1:17" ht="28.5" customHeight="1">
      <c r="A36" s="9" t="s">
        <v>15</v>
      </c>
      <c r="B36" s="5">
        <v>1170</v>
      </c>
      <c r="C36" s="1">
        <f>SUM(C31, C32:C35)</f>
        <v>2032.100000000001</v>
      </c>
      <c r="D36" s="1">
        <f>SUM(D31, D32:D35)</f>
        <v>-3773.7000000000025</v>
      </c>
      <c r="E36" s="1">
        <f>SUM(E31, E32:E35)</f>
        <v>-2.5366375666635577E-12</v>
      </c>
      <c r="F36" s="1">
        <f t="shared" si="0"/>
        <v>-3773.7000000000025</v>
      </c>
      <c r="G36" s="1">
        <f t="shared" si="1"/>
        <v>-3773.7</v>
      </c>
      <c r="H36" s="137">
        <f t="shared" si="2"/>
        <v>1.4876780386736739E+17</v>
      </c>
    </row>
    <row r="37" spans="1:17" ht="27.75" customHeight="1">
      <c r="A37" s="53" t="s">
        <v>28</v>
      </c>
      <c r="B37" s="6">
        <v>1180</v>
      </c>
      <c r="C37" s="7" t="s">
        <v>26</v>
      </c>
      <c r="D37" s="7" t="s">
        <v>26</v>
      </c>
      <c r="E37" s="7" t="s">
        <v>26</v>
      </c>
      <c r="F37" s="1" t="str">
        <f t="shared" si="0"/>
        <v>(    )</v>
      </c>
      <c r="G37" s="140" t="e">
        <f t="shared" si="1"/>
        <v>#VALUE!</v>
      </c>
      <c r="H37" s="139" t="e">
        <f t="shared" si="2"/>
        <v>#VALUE!</v>
      </c>
    </row>
    <row r="38" spans="1:17" ht="27" customHeight="1">
      <c r="A38" s="53" t="s">
        <v>29</v>
      </c>
      <c r="B38" s="6">
        <v>1181</v>
      </c>
      <c r="C38" s="7"/>
      <c r="D38" s="7"/>
      <c r="E38" s="7"/>
      <c r="F38" s="1">
        <f t="shared" si="0"/>
        <v>0</v>
      </c>
      <c r="G38" s="1">
        <f t="shared" si="1"/>
        <v>0</v>
      </c>
      <c r="H38" s="139" t="e">
        <f t="shared" si="2"/>
        <v>#DIV/0!</v>
      </c>
    </row>
    <row r="39" spans="1:17" ht="28.5" customHeight="1">
      <c r="A39" s="9" t="s">
        <v>45</v>
      </c>
      <c r="B39" s="6">
        <v>1200</v>
      </c>
      <c r="C39" s="1">
        <f>SUM(C36:C38)</f>
        <v>2032.100000000001</v>
      </c>
      <c r="D39" s="1">
        <f>SUM(D36:D38)</f>
        <v>-3773.7000000000025</v>
      </c>
      <c r="E39" s="1">
        <f>SUM(E36:E38)</f>
        <v>-2.5366375666635577E-12</v>
      </c>
      <c r="F39" s="1">
        <f t="shared" si="0"/>
        <v>-3773.7000000000025</v>
      </c>
      <c r="G39" s="1">
        <f t="shared" si="1"/>
        <v>-3773.7</v>
      </c>
      <c r="H39" s="137">
        <f t="shared" si="2"/>
        <v>1.4876780386736739E+17</v>
      </c>
    </row>
    <row r="40" spans="1:17" ht="35.25" customHeight="1">
      <c r="A40" s="53" t="s">
        <v>46</v>
      </c>
      <c r="B40" s="6">
        <v>1201</v>
      </c>
      <c r="C40" s="7">
        <v>2032.1</v>
      </c>
      <c r="D40" s="7"/>
      <c r="E40" s="7"/>
      <c r="F40" s="1">
        <f t="shared" si="0"/>
        <v>0</v>
      </c>
      <c r="G40" s="7">
        <f t="shared" si="1"/>
        <v>0</v>
      </c>
      <c r="H40" s="139" t="e">
        <f t="shared" si="2"/>
        <v>#DIV/0!</v>
      </c>
    </row>
    <row r="41" spans="1:17" ht="33" customHeight="1">
      <c r="A41" s="53" t="s">
        <v>47</v>
      </c>
      <c r="B41" s="6">
        <v>1202</v>
      </c>
      <c r="C41" s="7" t="s">
        <v>26</v>
      </c>
      <c r="D41" s="7">
        <v>-3773.7</v>
      </c>
      <c r="E41" s="7" t="s">
        <v>26</v>
      </c>
      <c r="F41" s="1">
        <f t="shared" si="0"/>
        <v>-3773.7</v>
      </c>
      <c r="G41" s="140" t="e">
        <f t="shared" si="1"/>
        <v>#VALUE!</v>
      </c>
      <c r="H41" s="139" t="e">
        <f t="shared" si="2"/>
        <v>#VALUE!</v>
      </c>
    </row>
    <row r="42" spans="1:17" ht="33" customHeight="1">
      <c r="A42" s="9" t="s">
        <v>116</v>
      </c>
      <c r="B42" s="5">
        <v>1210</v>
      </c>
      <c r="C42" s="1">
        <f>SUM(C8,C22,C32,C34,C38)</f>
        <v>71957.200000000012</v>
      </c>
      <c r="D42" s="1">
        <f>SUM(D8,D22,D32,D34,D38)</f>
        <v>78409.8</v>
      </c>
      <c r="E42" s="1">
        <f>SUM(E8,E22,E32,E34,E38)</f>
        <v>65906.099999999991</v>
      </c>
      <c r="F42" s="1">
        <f t="shared" si="0"/>
        <v>78409.8</v>
      </c>
      <c r="G42" s="7">
        <f t="shared" si="1"/>
        <v>12503.700000000012</v>
      </c>
      <c r="H42" s="58">
        <f t="shared" si="2"/>
        <v>118.97199197039426</v>
      </c>
      <c r="L42" s="113"/>
    </row>
    <row r="43" spans="1:17" ht="33" customHeight="1" thickBot="1">
      <c r="A43" s="67" t="s">
        <v>117</v>
      </c>
      <c r="B43" s="68">
        <v>1220</v>
      </c>
      <c r="C43" s="64">
        <f>SUM(C9,C16,C25,C33,C35,C37)</f>
        <v>-69925.100000000006</v>
      </c>
      <c r="D43" s="64">
        <f>SUM(D9,D16,D25,D33,D35,D37)</f>
        <v>-82183.500000000015</v>
      </c>
      <c r="E43" s="64">
        <f>SUM(E9,E16,E25,E33,E35,E37)</f>
        <v>-65906.099999999991</v>
      </c>
      <c r="F43" s="1">
        <f t="shared" si="0"/>
        <v>-82183.500000000015</v>
      </c>
      <c r="G43" s="47">
        <f t="shared" si="1"/>
        <v>-16277.400000000023</v>
      </c>
      <c r="H43" s="59">
        <f t="shared" si="2"/>
        <v>124.69786559969415</v>
      </c>
    </row>
    <row r="44" spans="1:17" ht="33" customHeight="1">
      <c r="A44" s="281" t="s">
        <v>131</v>
      </c>
      <c r="B44" s="282"/>
      <c r="C44" s="282"/>
      <c r="D44" s="282"/>
      <c r="E44" s="282"/>
      <c r="F44" s="282"/>
      <c r="G44" s="282"/>
      <c r="H44" s="283"/>
    </row>
    <row r="45" spans="1:17" ht="33" customHeight="1">
      <c r="A45" s="11" t="s">
        <v>55</v>
      </c>
      <c r="B45" s="98">
        <v>9000</v>
      </c>
      <c r="C45" s="7">
        <v>12330.2</v>
      </c>
      <c r="D45" s="7">
        <v>10935.7</v>
      </c>
      <c r="E45" s="7">
        <v>9060.5</v>
      </c>
      <c r="F45" s="7">
        <f>D45</f>
        <v>10935.7</v>
      </c>
      <c r="G45" s="17">
        <f t="shared" ref="G45:G50" si="3">F45-E45</f>
        <v>1875.2000000000007</v>
      </c>
      <c r="H45" s="54">
        <f t="shared" ref="H45:H50" si="4">(F45/E45)*100</f>
        <v>120.69642955686773</v>
      </c>
    </row>
    <row r="46" spans="1:17" ht="33" customHeight="1">
      <c r="A46" s="11" t="s">
        <v>2</v>
      </c>
      <c r="B46" s="98">
        <v>9010</v>
      </c>
      <c r="C46" s="7">
        <v>41886.699999999997</v>
      </c>
      <c r="D46" s="7">
        <v>50779.7</v>
      </c>
      <c r="E46" s="7">
        <v>39933.599999999999</v>
      </c>
      <c r="F46" s="7">
        <f>D46</f>
        <v>50779.7</v>
      </c>
      <c r="G46" s="17">
        <f t="shared" si="3"/>
        <v>10846.099999999999</v>
      </c>
      <c r="H46" s="54">
        <f t="shared" si="4"/>
        <v>127.16033615802232</v>
      </c>
    </row>
    <row r="47" spans="1:17" ht="33" customHeight="1">
      <c r="A47" s="11" t="s">
        <v>3</v>
      </c>
      <c r="B47" s="98">
        <v>9020</v>
      </c>
      <c r="C47" s="7">
        <v>8935.5</v>
      </c>
      <c r="D47" s="7">
        <v>10717.7</v>
      </c>
      <c r="E47" s="7">
        <v>8586</v>
      </c>
      <c r="F47" s="7">
        <f>D47</f>
        <v>10717.7</v>
      </c>
      <c r="G47" s="17">
        <f t="shared" si="3"/>
        <v>2131.7000000000007</v>
      </c>
      <c r="H47" s="54">
        <f t="shared" si="4"/>
        <v>124.82762636850688</v>
      </c>
    </row>
    <row r="48" spans="1:17" ht="33" customHeight="1">
      <c r="A48" s="11" t="s">
        <v>4</v>
      </c>
      <c r="B48" s="98">
        <v>9030</v>
      </c>
      <c r="C48" s="7">
        <v>1694.5</v>
      </c>
      <c r="D48" s="7">
        <v>2592.6999999999998</v>
      </c>
      <c r="E48" s="7"/>
      <c r="F48" s="7">
        <f>D48</f>
        <v>2592.6999999999998</v>
      </c>
      <c r="G48" s="17">
        <f t="shared" si="3"/>
        <v>2592.6999999999998</v>
      </c>
      <c r="H48" s="54" t="e">
        <f t="shared" si="4"/>
        <v>#DIV/0!</v>
      </c>
      <c r="N48" s="84"/>
      <c r="O48" s="85"/>
      <c r="P48" s="85"/>
      <c r="Q48" s="85"/>
    </row>
    <row r="49" spans="1:17" ht="33" customHeight="1">
      <c r="A49" s="11" t="s">
        <v>6</v>
      </c>
      <c r="B49" s="98">
        <v>9040</v>
      </c>
      <c r="C49" s="7">
        <v>5078.2</v>
      </c>
      <c r="D49" s="7">
        <v>7157.7</v>
      </c>
      <c r="E49" s="7">
        <v>8326</v>
      </c>
      <c r="F49" s="7">
        <f>D49</f>
        <v>7157.7</v>
      </c>
      <c r="G49" s="17">
        <f t="shared" si="3"/>
        <v>-1168.3000000000002</v>
      </c>
      <c r="H49" s="54">
        <f t="shared" si="4"/>
        <v>85.968051885659378</v>
      </c>
      <c r="N49" s="84"/>
      <c r="O49" s="85"/>
      <c r="P49" s="85"/>
      <c r="Q49" s="85"/>
    </row>
    <row r="50" spans="1:17" ht="33" customHeight="1" thickBot="1">
      <c r="A50" s="66" t="s">
        <v>9</v>
      </c>
      <c r="B50" s="63">
        <v>9050</v>
      </c>
      <c r="C50" s="64">
        <f>SUM(C45:C49)</f>
        <v>69925.099999999991</v>
      </c>
      <c r="D50" s="64">
        <f>SUM(D45:D49)</f>
        <v>82183.499999999985</v>
      </c>
      <c r="E50" s="64">
        <f>SUM(E45:E49)</f>
        <v>65906.100000000006</v>
      </c>
      <c r="F50" s="64">
        <f>SUM(F45:F49)</f>
        <v>82183.499999999985</v>
      </c>
      <c r="G50" s="48">
        <f t="shared" si="3"/>
        <v>16277.39999999998</v>
      </c>
      <c r="H50" s="49">
        <f t="shared" si="4"/>
        <v>124.69786559969407</v>
      </c>
      <c r="N50" s="84"/>
      <c r="O50" s="86"/>
      <c r="P50" s="86"/>
      <c r="Q50" s="86"/>
    </row>
    <row r="51" spans="1:17" ht="33" customHeight="1">
      <c r="A51" s="298" t="s">
        <v>99</v>
      </c>
      <c r="B51" s="299"/>
      <c r="C51" s="299"/>
      <c r="D51" s="299"/>
      <c r="E51" s="299"/>
      <c r="F51" s="299"/>
      <c r="G51" s="299"/>
      <c r="H51" s="300"/>
      <c r="N51" s="84"/>
      <c r="O51" s="86"/>
      <c r="P51" s="86"/>
      <c r="Q51" s="86"/>
    </row>
    <row r="52" spans="1:17" ht="69" customHeight="1">
      <c r="A52" s="60" t="s">
        <v>137</v>
      </c>
      <c r="B52" s="5">
        <v>2110</v>
      </c>
      <c r="C52" s="1">
        <f>SUM(C53:C56)</f>
        <v>-706.5</v>
      </c>
      <c r="D52" s="1">
        <f>SUM(D53:D56)</f>
        <v>-837.29549999999995</v>
      </c>
      <c r="E52" s="1">
        <f>SUM(E53:E56)</f>
        <v>-666</v>
      </c>
      <c r="F52" s="1">
        <f>SUM(F53:F56)</f>
        <v>-837.29549999999995</v>
      </c>
      <c r="G52" s="1">
        <f>F52-F52</f>
        <v>0</v>
      </c>
      <c r="H52" s="57">
        <f>(F52/E52)*100</f>
        <v>125.72004504504504</v>
      </c>
      <c r="N52" s="84"/>
      <c r="O52" s="85"/>
      <c r="P52" s="85"/>
      <c r="Q52" s="85"/>
    </row>
    <row r="53" spans="1:17" ht="44.25" customHeight="1">
      <c r="A53" s="11" t="s">
        <v>52</v>
      </c>
      <c r="B53" s="6">
        <v>2111</v>
      </c>
      <c r="C53" s="7">
        <v>-73.099999999999994</v>
      </c>
      <c r="D53" s="7">
        <v>-75.599999999999994</v>
      </c>
      <c r="E53" s="7">
        <v>-67</v>
      </c>
      <c r="F53" s="7">
        <f>D53</f>
        <v>-75.599999999999994</v>
      </c>
      <c r="G53" s="7">
        <f t="shared" ref="G53:G68" si="5">F53-F53</f>
        <v>0</v>
      </c>
      <c r="H53" s="58">
        <f t="shared" ref="H53:H68" si="6">(F53/E53)*100</f>
        <v>112.83582089552237</v>
      </c>
      <c r="N53" s="84"/>
      <c r="O53" s="92"/>
      <c r="P53" s="92"/>
      <c r="Q53" s="92"/>
    </row>
    <row r="54" spans="1:17" ht="45.75" customHeight="1">
      <c r="A54" s="61" t="s">
        <v>53</v>
      </c>
      <c r="B54" s="6">
        <v>2112</v>
      </c>
      <c r="C54" s="7" t="s">
        <v>26</v>
      </c>
      <c r="D54" s="7" t="s">
        <v>26</v>
      </c>
      <c r="E54" s="7" t="s">
        <v>26</v>
      </c>
      <c r="F54" s="7" t="s">
        <v>26</v>
      </c>
      <c r="G54" s="140" t="e">
        <f t="shared" si="5"/>
        <v>#VALUE!</v>
      </c>
      <c r="H54" s="139" t="e">
        <f t="shared" si="6"/>
        <v>#VALUE!</v>
      </c>
    </row>
    <row r="55" spans="1:17" ht="28.5" customHeight="1">
      <c r="A55" s="11" t="s">
        <v>60</v>
      </c>
      <c r="B55" s="6">
        <v>2113</v>
      </c>
      <c r="C55" s="7">
        <v>-633.4</v>
      </c>
      <c r="D55" s="7">
        <f>-D46*1.5/100</f>
        <v>-761.69549999999992</v>
      </c>
      <c r="E55" s="7">
        <v>-599</v>
      </c>
      <c r="F55" s="7">
        <f>D55</f>
        <v>-761.69549999999992</v>
      </c>
      <c r="G55" s="7">
        <f t="shared" si="5"/>
        <v>0</v>
      </c>
      <c r="H55" s="58">
        <f t="shared" si="6"/>
        <v>127.16118530884806</v>
      </c>
    </row>
    <row r="56" spans="1:17" ht="33" customHeight="1">
      <c r="A56" s="11" t="s">
        <v>40</v>
      </c>
      <c r="B56" s="6">
        <v>2114</v>
      </c>
      <c r="C56" s="7" t="s">
        <v>26</v>
      </c>
      <c r="D56" s="7" t="s">
        <v>26</v>
      </c>
      <c r="E56" s="7" t="s">
        <v>26</v>
      </c>
      <c r="F56" s="7" t="s">
        <v>26</v>
      </c>
      <c r="G56" s="140" t="e">
        <f t="shared" si="5"/>
        <v>#VALUE!</v>
      </c>
      <c r="H56" s="139" t="e">
        <f t="shared" si="6"/>
        <v>#VALUE!</v>
      </c>
    </row>
    <row r="57" spans="1:17" ht="43.5" customHeight="1">
      <c r="A57" s="51" t="s">
        <v>57</v>
      </c>
      <c r="B57" s="8">
        <v>2120</v>
      </c>
      <c r="C57" s="1">
        <f>SUM(C58:C63)</f>
        <v>-7545</v>
      </c>
      <c r="D57" s="1">
        <f>SUM(D58:D63)</f>
        <v>-9140.6459999999988</v>
      </c>
      <c r="E57" s="1">
        <f>SUM(E58:E63)</f>
        <v>-7188.347999999999</v>
      </c>
      <c r="F57" s="1">
        <f>SUM(F58:F63)</f>
        <v>-9140.6459999999988</v>
      </c>
      <c r="G57" s="1">
        <f t="shared" si="5"/>
        <v>0</v>
      </c>
      <c r="H57" s="57">
        <f t="shared" si="6"/>
        <v>127.15920264294382</v>
      </c>
    </row>
    <row r="58" spans="1:17" ht="36" customHeight="1">
      <c r="A58" s="61" t="s">
        <v>38</v>
      </c>
      <c r="B58" s="98">
        <v>2121</v>
      </c>
      <c r="C58" s="7" t="s">
        <v>26</v>
      </c>
      <c r="D58" s="7" t="s">
        <v>26</v>
      </c>
      <c r="E58" s="7" t="s">
        <v>26</v>
      </c>
      <c r="F58" s="7" t="s">
        <v>26</v>
      </c>
      <c r="G58" s="140" t="e">
        <f t="shared" si="5"/>
        <v>#VALUE!</v>
      </c>
      <c r="H58" s="139" t="e">
        <f t="shared" si="6"/>
        <v>#VALUE!</v>
      </c>
    </row>
    <row r="59" spans="1:17" ht="33.75" customHeight="1">
      <c r="A59" s="11" t="s">
        <v>14</v>
      </c>
      <c r="B59" s="98">
        <v>2122</v>
      </c>
      <c r="C59" s="7">
        <v>-7544.7</v>
      </c>
      <c r="D59" s="7">
        <f>-D46*18/100</f>
        <v>-9140.3459999999995</v>
      </c>
      <c r="E59" s="7">
        <f>-E46*18/100</f>
        <v>-7188.0479999999989</v>
      </c>
      <c r="F59" s="7">
        <f>D59</f>
        <v>-9140.3459999999995</v>
      </c>
      <c r="G59" s="7">
        <f t="shared" si="5"/>
        <v>0</v>
      </c>
      <c r="H59" s="58">
        <f t="shared" si="6"/>
        <v>127.16033615802233</v>
      </c>
    </row>
    <row r="60" spans="1:17" ht="31.5" customHeight="1">
      <c r="A60" s="11" t="s">
        <v>43</v>
      </c>
      <c r="B60" s="98">
        <v>2123</v>
      </c>
      <c r="C60" s="7">
        <v>-0.3</v>
      </c>
      <c r="D60" s="7">
        <v>-0.3</v>
      </c>
      <c r="E60" s="7">
        <v>-0.3</v>
      </c>
      <c r="F60" s="7">
        <f>D60</f>
        <v>-0.3</v>
      </c>
      <c r="G60" s="7">
        <f t="shared" si="5"/>
        <v>0</v>
      </c>
      <c r="H60" s="58">
        <f t="shared" si="6"/>
        <v>100</v>
      </c>
    </row>
    <row r="61" spans="1:17" ht="31.5" customHeight="1">
      <c r="A61" s="11" t="s">
        <v>44</v>
      </c>
      <c r="B61" s="98">
        <v>2124</v>
      </c>
      <c r="C61" s="7" t="s">
        <v>26</v>
      </c>
      <c r="D61" s="7" t="s">
        <v>26</v>
      </c>
      <c r="E61" s="7" t="s">
        <v>26</v>
      </c>
      <c r="F61" s="7" t="s">
        <v>26</v>
      </c>
      <c r="G61" s="140" t="e">
        <f t="shared" si="5"/>
        <v>#VALUE!</v>
      </c>
      <c r="H61" s="139" t="e">
        <f t="shared" si="6"/>
        <v>#VALUE!</v>
      </c>
    </row>
    <row r="62" spans="1:17" ht="84.75" customHeight="1">
      <c r="A62" s="11" t="s">
        <v>372</v>
      </c>
      <c r="B62" s="98">
        <v>2125</v>
      </c>
      <c r="C62" s="7" t="s">
        <v>26</v>
      </c>
      <c r="D62" s="7" t="s">
        <v>26</v>
      </c>
      <c r="E62" s="7" t="s">
        <v>26</v>
      </c>
      <c r="F62" s="7" t="s">
        <v>26</v>
      </c>
      <c r="G62" s="140" t="e">
        <f t="shared" si="5"/>
        <v>#VALUE!</v>
      </c>
      <c r="H62" s="139" t="e">
        <f t="shared" si="6"/>
        <v>#VALUE!</v>
      </c>
    </row>
    <row r="63" spans="1:17" ht="31.5" customHeight="1">
      <c r="A63" s="11" t="s">
        <v>40</v>
      </c>
      <c r="B63" s="98">
        <v>2126</v>
      </c>
      <c r="C63" s="7" t="s">
        <v>26</v>
      </c>
      <c r="D63" s="7" t="s">
        <v>26</v>
      </c>
      <c r="E63" s="7" t="s">
        <v>26</v>
      </c>
      <c r="F63" s="7" t="s">
        <v>26</v>
      </c>
      <c r="G63" s="140" t="e">
        <f t="shared" si="5"/>
        <v>#VALUE!</v>
      </c>
      <c r="H63" s="139" t="e">
        <f t="shared" si="6"/>
        <v>#VALUE!</v>
      </c>
    </row>
    <row r="64" spans="1:17" ht="48" customHeight="1">
      <c r="A64" s="60" t="s">
        <v>58</v>
      </c>
      <c r="B64" s="8">
        <v>2130</v>
      </c>
      <c r="C64" s="1">
        <f>SUM(C65:C67)</f>
        <v>-9161.3000000000011</v>
      </c>
      <c r="D64" s="1">
        <f>SUM(D65:D67)</f>
        <v>-10965.6</v>
      </c>
      <c r="E64" s="1">
        <f>SUM(E65:E67)</f>
        <v>-8785.6</v>
      </c>
      <c r="F64" s="1">
        <f>SUM(F65:F67)</f>
        <v>-10965.6</v>
      </c>
      <c r="G64" s="1">
        <f t="shared" si="5"/>
        <v>0</v>
      </c>
      <c r="H64" s="57">
        <f t="shared" si="6"/>
        <v>124.81333090511745</v>
      </c>
    </row>
    <row r="65" spans="1:9" ht="32.25" customHeight="1">
      <c r="A65" s="11" t="s">
        <v>41</v>
      </c>
      <c r="B65" s="98">
        <v>2131</v>
      </c>
      <c r="C65" s="7" t="s">
        <v>26</v>
      </c>
      <c r="D65" s="7" t="s">
        <v>26</v>
      </c>
      <c r="E65" s="7" t="s">
        <v>26</v>
      </c>
      <c r="F65" s="7" t="s">
        <v>26</v>
      </c>
      <c r="G65" s="140" t="e">
        <f t="shared" si="5"/>
        <v>#VALUE!</v>
      </c>
      <c r="H65" s="139" t="e">
        <f t="shared" si="6"/>
        <v>#VALUE!</v>
      </c>
    </row>
    <row r="66" spans="1:9" ht="44.25" customHeight="1">
      <c r="A66" s="11" t="s">
        <v>42</v>
      </c>
      <c r="B66" s="98">
        <v>2132</v>
      </c>
      <c r="C66" s="7">
        <v>-8935.2000000000007</v>
      </c>
      <c r="D66" s="7">
        <v>-10717.7</v>
      </c>
      <c r="E66" s="7">
        <v>-8586</v>
      </c>
      <c r="F66" s="7">
        <f>D66</f>
        <v>-10717.7</v>
      </c>
      <c r="G66" s="7">
        <f t="shared" si="5"/>
        <v>0</v>
      </c>
      <c r="H66" s="58">
        <f t="shared" si="6"/>
        <v>124.82762636850688</v>
      </c>
    </row>
    <row r="67" spans="1:9" ht="35.25" customHeight="1">
      <c r="A67" s="11" t="s">
        <v>540</v>
      </c>
      <c r="B67" s="98">
        <v>2133</v>
      </c>
      <c r="C67" s="7">
        <v>-226.1</v>
      </c>
      <c r="D67" s="7">
        <v>-247.9</v>
      </c>
      <c r="E67" s="7">
        <v>-199.6</v>
      </c>
      <c r="F67" s="7">
        <f>D67</f>
        <v>-247.9</v>
      </c>
      <c r="G67" s="7">
        <f t="shared" si="5"/>
        <v>0</v>
      </c>
      <c r="H67" s="58">
        <f t="shared" si="6"/>
        <v>124.19839679358718</v>
      </c>
      <c r="I67" s="101" t="s">
        <v>276</v>
      </c>
    </row>
    <row r="68" spans="1:9" ht="30.75" customHeight="1" thickBot="1">
      <c r="A68" s="62" t="s">
        <v>54</v>
      </c>
      <c r="B68" s="63">
        <v>2200</v>
      </c>
      <c r="C68" s="64">
        <f>SUM(C52+C57+C64)</f>
        <v>-17412.800000000003</v>
      </c>
      <c r="D68" s="64">
        <f>SUM(D52+D57+D64)</f>
        <v>-20943.541499999999</v>
      </c>
      <c r="E68" s="64">
        <f>SUM(E52+E57+E64)</f>
        <v>-16639.948</v>
      </c>
      <c r="F68" s="64">
        <f>SUM(F52+F57+F64)</f>
        <v>-20943.541499999999</v>
      </c>
      <c r="G68" s="64">
        <f t="shared" si="5"/>
        <v>0</v>
      </c>
      <c r="H68" s="65">
        <f t="shared" si="6"/>
        <v>125.86302252867615</v>
      </c>
    </row>
    <row r="69" spans="1:9" ht="33" customHeight="1">
      <c r="A69" s="301" t="s">
        <v>100</v>
      </c>
      <c r="B69" s="302"/>
      <c r="C69" s="302"/>
      <c r="D69" s="302"/>
      <c r="E69" s="302"/>
      <c r="F69" s="302"/>
      <c r="G69" s="302"/>
      <c r="H69" s="303"/>
    </row>
    <row r="70" spans="1:9" ht="27.75" customHeight="1">
      <c r="A70" s="9" t="s">
        <v>19</v>
      </c>
      <c r="B70" s="5">
        <v>4000</v>
      </c>
      <c r="C70" s="1">
        <f>SUM(C71:C77)</f>
        <v>-975.59999999999991</v>
      </c>
      <c r="D70" s="1">
        <f>SUM(D71:D77)</f>
        <v>-10068.199999999999</v>
      </c>
      <c r="E70" s="1">
        <f>SUM(E71:E77)</f>
        <v>0</v>
      </c>
      <c r="F70" s="1">
        <f>SUM(F71:F77)</f>
        <v>-10068.199999999999</v>
      </c>
      <c r="G70" s="1">
        <f>F70-E70</f>
        <v>-10068.199999999999</v>
      </c>
      <c r="H70" s="137" t="e">
        <f>(F70/E70)*100</f>
        <v>#DIV/0!</v>
      </c>
    </row>
    <row r="71" spans="1:9" ht="37.5" customHeight="1">
      <c r="A71" s="10" t="s">
        <v>61</v>
      </c>
      <c r="B71" s="6">
        <v>4010</v>
      </c>
      <c r="C71" s="7" t="s">
        <v>26</v>
      </c>
      <c r="D71" s="7" t="s">
        <v>26</v>
      </c>
      <c r="E71" s="7" t="s">
        <v>26</v>
      </c>
      <c r="F71" s="7" t="s">
        <v>26</v>
      </c>
      <c r="G71" s="140" t="e">
        <f t="shared" ref="G71:G77" si="7">F71-E71</f>
        <v>#VALUE!</v>
      </c>
      <c r="H71" s="139" t="e">
        <f t="shared" ref="H71:H77" si="8">(F71/E71)*100</f>
        <v>#VALUE!</v>
      </c>
    </row>
    <row r="72" spans="1:9" ht="48.75" customHeight="1">
      <c r="A72" s="11" t="s">
        <v>127</v>
      </c>
      <c r="B72" s="6">
        <v>4020</v>
      </c>
      <c r="C72" s="7">
        <v>-767.8</v>
      </c>
      <c r="D72" s="7">
        <v>-8926.9</v>
      </c>
      <c r="E72" s="7" t="s">
        <v>26</v>
      </c>
      <c r="F72" s="7">
        <f>D72</f>
        <v>-8926.9</v>
      </c>
      <c r="G72" s="140" t="e">
        <f t="shared" si="7"/>
        <v>#VALUE!</v>
      </c>
      <c r="H72" s="139" t="e">
        <f t="shared" si="8"/>
        <v>#VALUE!</v>
      </c>
    </row>
    <row r="73" spans="1:9" ht="48.75" customHeight="1">
      <c r="A73" s="11" t="s">
        <v>70</v>
      </c>
      <c r="B73" s="6">
        <v>4030</v>
      </c>
      <c r="C73" s="7">
        <v>-207.8</v>
      </c>
      <c r="D73" s="7">
        <v>-676.4</v>
      </c>
      <c r="E73" s="7" t="s">
        <v>26</v>
      </c>
      <c r="F73" s="7">
        <f>D73</f>
        <v>-676.4</v>
      </c>
      <c r="G73" s="140" t="e">
        <f t="shared" si="7"/>
        <v>#VALUE!</v>
      </c>
      <c r="H73" s="139" t="e">
        <f t="shared" si="8"/>
        <v>#VALUE!</v>
      </c>
    </row>
    <row r="74" spans="1:9" ht="49.5" customHeight="1">
      <c r="A74" s="11" t="s">
        <v>128</v>
      </c>
      <c r="B74" s="6">
        <v>4040</v>
      </c>
      <c r="C74" s="7"/>
      <c r="D74" s="7"/>
      <c r="E74" s="7" t="s">
        <v>26</v>
      </c>
      <c r="F74" s="7" t="s">
        <v>26</v>
      </c>
      <c r="G74" s="140" t="e">
        <f t="shared" si="7"/>
        <v>#VALUE!</v>
      </c>
      <c r="H74" s="139" t="e">
        <f t="shared" si="8"/>
        <v>#VALUE!</v>
      </c>
    </row>
    <row r="75" spans="1:9" ht="73.5" customHeight="1">
      <c r="A75" s="11" t="s">
        <v>62</v>
      </c>
      <c r="B75" s="6">
        <v>4050</v>
      </c>
      <c r="C75" s="7"/>
      <c r="D75" s="7"/>
      <c r="E75" s="7" t="s">
        <v>26</v>
      </c>
      <c r="F75" s="7" t="s">
        <v>26</v>
      </c>
      <c r="G75" s="140" t="e">
        <f t="shared" si="7"/>
        <v>#VALUE!</v>
      </c>
      <c r="H75" s="139" t="e">
        <f t="shared" si="8"/>
        <v>#VALUE!</v>
      </c>
    </row>
    <row r="76" spans="1:9" ht="36.75" customHeight="1">
      <c r="A76" s="11" t="s">
        <v>63</v>
      </c>
      <c r="B76" s="6">
        <v>4060</v>
      </c>
      <c r="C76" s="7"/>
      <c r="D76" s="7">
        <v>-464.9</v>
      </c>
      <c r="E76" s="7" t="s">
        <v>26</v>
      </c>
      <c r="F76" s="7">
        <f>D76</f>
        <v>-464.9</v>
      </c>
      <c r="G76" s="140" t="e">
        <f t="shared" si="7"/>
        <v>#VALUE!</v>
      </c>
      <c r="H76" s="139" t="e">
        <f t="shared" si="8"/>
        <v>#VALUE!</v>
      </c>
    </row>
    <row r="77" spans="1:9" ht="39.75" customHeight="1" thickBot="1">
      <c r="A77" s="12" t="s">
        <v>49</v>
      </c>
      <c r="B77" s="13">
        <v>4070</v>
      </c>
      <c r="C77" s="47" t="s">
        <v>26</v>
      </c>
      <c r="D77" s="47" t="s">
        <v>26</v>
      </c>
      <c r="E77" s="47" t="s">
        <v>26</v>
      </c>
      <c r="F77" s="47" t="s">
        <v>26</v>
      </c>
      <c r="G77" s="141" t="e">
        <f t="shared" si="7"/>
        <v>#VALUE!</v>
      </c>
      <c r="H77" s="142" t="e">
        <f t="shared" si="8"/>
        <v>#VALUE!</v>
      </c>
    </row>
    <row r="78" spans="1:9" ht="36.75" customHeight="1">
      <c r="A78" s="295" t="s">
        <v>101</v>
      </c>
      <c r="B78" s="296"/>
      <c r="C78" s="296"/>
      <c r="D78" s="296"/>
      <c r="E78" s="296"/>
      <c r="F78" s="296"/>
      <c r="G78" s="296"/>
      <c r="H78" s="297"/>
    </row>
    <row r="79" spans="1:9" ht="46.5" customHeight="1">
      <c r="A79" s="50"/>
      <c r="B79" s="46"/>
      <c r="C79" s="287" t="s">
        <v>121</v>
      </c>
      <c r="D79" s="287"/>
      <c r="E79" s="306" t="s">
        <v>495</v>
      </c>
      <c r="F79" s="307"/>
      <c r="G79" s="307"/>
      <c r="H79" s="308"/>
    </row>
    <row r="80" spans="1:9" ht="45" customHeight="1">
      <c r="A80" s="50"/>
      <c r="B80" s="46"/>
      <c r="C80" s="119" t="s">
        <v>415</v>
      </c>
      <c r="D80" s="116" t="s">
        <v>416</v>
      </c>
      <c r="E80" s="4" t="s">
        <v>107</v>
      </c>
      <c r="F80" s="4" t="s">
        <v>108</v>
      </c>
      <c r="G80" s="4" t="s">
        <v>109</v>
      </c>
      <c r="H80" s="4" t="s">
        <v>110</v>
      </c>
    </row>
    <row r="81" spans="1:17" s="26" customFormat="1" ht="86.25" customHeight="1">
      <c r="A81" s="51" t="s">
        <v>129</v>
      </c>
      <c r="B81" s="14" t="s">
        <v>30</v>
      </c>
      <c r="C81" s="15">
        <f>SUM(C82:C84)</f>
        <v>530</v>
      </c>
      <c r="D81" s="15">
        <f>SUM(D82:D84)</f>
        <v>457</v>
      </c>
      <c r="E81" s="15">
        <f>SUM(E82:E84)</f>
        <v>524</v>
      </c>
      <c r="F81" s="15">
        <f>SUM(F82:F84)</f>
        <v>457</v>
      </c>
      <c r="G81" s="15" t="s">
        <v>130</v>
      </c>
      <c r="H81" s="52" t="s">
        <v>130</v>
      </c>
    </row>
    <row r="82" spans="1:17" ht="27.75" customHeight="1">
      <c r="A82" s="53" t="s">
        <v>21</v>
      </c>
      <c r="B82" s="6" t="s">
        <v>31</v>
      </c>
      <c r="C82" s="16">
        <v>1</v>
      </c>
      <c r="D82" s="16">
        <v>1</v>
      </c>
      <c r="E82" s="16">
        <v>1</v>
      </c>
      <c r="F82" s="16">
        <f>D82</f>
        <v>1</v>
      </c>
      <c r="G82" s="16" t="s">
        <v>130</v>
      </c>
      <c r="H82" s="54" t="s">
        <v>130</v>
      </c>
      <c r="K82" s="111"/>
      <c r="L82" s="111"/>
    </row>
    <row r="83" spans="1:17" ht="27.75" customHeight="1">
      <c r="A83" s="53" t="s">
        <v>24</v>
      </c>
      <c r="B83" s="6" t="s">
        <v>32</v>
      </c>
      <c r="C83" s="16">
        <v>58</v>
      </c>
      <c r="D83" s="16">
        <v>50</v>
      </c>
      <c r="E83" s="16">
        <v>58</v>
      </c>
      <c r="F83" s="16">
        <f>D83</f>
        <v>50</v>
      </c>
      <c r="G83" s="16" t="s">
        <v>130</v>
      </c>
      <c r="H83" s="54" t="s">
        <v>130</v>
      </c>
      <c r="J83" s="111"/>
      <c r="K83" s="111"/>
      <c r="L83" s="114"/>
    </row>
    <row r="84" spans="1:17" ht="27.75" customHeight="1">
      <c r="A84" s="53" t="s">
        <v>22</v>
      </c>
      <c r="B84" s="6" t="s">
        <v>33</v>
      </c>
      <c r="C84" s="16">
        <v>471</v>
      </c>
      <c r="D84" s="16">
        <v>406</v>
      </c>
      <c r="E84" s="16">
        <v>465</v>
      </c>
      <c r="F84" s="16">
        <f>D84</f>
        <v>406</v>
      </c>
      <c r="G84" s="16" t="s">
        <v>130</v>
      </c>
      <c r="H84" s="54" t="s">
        <v>130</v>
      </c>
      <c r="J84" s="111"/>
      <c r="K84" s="111"/>
      <c r="L84" s="114"/>
    </row>
    <row r="85" spans="1:17" ht="27.75" customHeight="1">
      <c r="A85" s="9" t="s">
        <v>71</v>
      </c>
      <c r="B85" s="5" t="s">
        <v>34</v>
      </c>
      <c r="C85" s="1">
        <f>SUM(C86:C88)</f>
        <v>41887</v>
      </c>
      <c r="D85" s="1">
        <f>SUM(D86:D88)</f>
        <v>50779.7</v>
      </c>
      <c r="E85" s="1">
        <f>SUM(E86:E88)</f>
        <v>39933.599999999999</v>
      </c>
      <c r="F85" s="1">
        <f>SUM(F86:F88)</f>
        <v>50779.7</v>
      </c>
      <c r="G85" s="2" t="s">
        <v>130</v>
      </c>
      <c r="H85" s="52" t="s">
        <v>130</v>
      </c>
      <c r="J85" s="111"/>
      <c r="K85" s="111"/>
    </row>
    <row r="86" spans="1:17" ht="27.75" customHeight="1">
      <c r="A86" s="53" t="s">
        <v>21</v>
      </c>
      <c r="B86" s="6">
        <v>8011</v>
      </c>
      <c r="C86" s="7">
        <v>349</v>
      </c>
      <c r="D86" s="7">
        <v>402.4</v>
      </c>
      <c r="E86" s="112">
        <v>528.9</v>
      </c>
      <c r="F86" s="112">
        <f>D86</f>
        <v>402.4</v>
      </c>
      <c r="G86" s="17" t="s">
        <v>130</v>
      </c>
      <c r="H86" s="54" t="s">
        <v>130</v>
      </c>
      <c r="J86" s="111"/>
      <c r="K86" s="111"/>
      <c r="M86" s="113"/>
      <c r="Q86" s="111"/>
    </row>
    <row r="87" spans="1:17" ht="27.75" customHeight="1">
      <c r="A87" s="53" t="s">
        <v>24</v>
      </c>
      <c r="B87" s="6">
        <v>8012</v>
      </c>
      <c r="C87" s="7">
        <v>3579</v>
      </c>
      <c r="D87" s="7">
        <v>4410.8999999999996</v>
      </c>
      <c r="E87" s="112">
        <v>4420.1000000000004</v>
      </c>
      <c r="F87" s="112">
        <f>D87</f>
        <v>4410.8999999999996</v>
      </c>
      <c r="G87" s="17" t="s">
        <v>130</v>
      </c>
      <c r="H87" s="54" t="s">
        <v>130</v>
      </c>
      <c r="J87" s="111"/>
      <c r="K87" s="111"/>
      <c r="Q87" s="111"/>
    </row>
    <row r="88" spans="1:17" ht="27.75" customHeight="1">
      <c r="A88" s="53" t="s">
        <v>22</v>
      </c>
      <c r="B88" s="6">
        <v>8013</v>
      </c>
      <c r="C88" s="7">
        <v>37959</v>
      </c>
      <c r="D88" s="7">
        <v>45966.400000000001</v>
      </c>
      <c r="E88" s="112">
        <v>34984.6</v>
      </c>
      <c r="F88" s="112">
        <f>D88</f>
        <v>45966.400000000001</v>
      </c>
      <c r="G88" s="17" t="s">
        <v>130</v>
      </c>
      <c r="H88" s="54" t="s">
        <v>130</v>
      </c>
      <c r="J88" s="111"/>
      <c r="K88" s="111"/>
      <c r="M88" s="111"/>
      <c r="Q88" s="111"/>
    </row>
    <row r="89" spans="1:17" ht="27.75" customHeight="1">
      <c r="A89" s="9" t="s">
        <v>2</v>
      </c>
      <c r="B89" s="5">
        <v>8020</v>
      </c>
      <c r="C89" s="1">
        <f>C46</f>
        <v>41886.699999999997</v>
      </c>
      <c r="D89" s="1">
        <f>D46</f>
        <v>50779.7</v>
      </c>
      <c r="E89" s="1">
        <f>E46</f>
        <v>39933.599999999999</v>
      </c>
      <c r="F89" s="1">
        <f>F46</f>
        <v>50779.7</v>
      </c>
      <c r="G89" s="2" t="s">
        <v>130</v>
      </c>
      <c r="H89" s="52" t="s">
        <v>130</v>
      </c>
      <c r="J89" s="111"/>
      <c r="K89" s="111"/>
      <c r="Q89" s="111"/>
    </row>
    <row r="90" spans="1:17" ht="27.75" customHeight="1">
      <c r="A90" s="53" t="s">
        <v>21</v>
      </c>
      <c r="B90" s="6">
        <v>8021</v>
      </c>
      <c r="C90" s="7">
        <f>C86</f>
        <v>349</v>
      </c>
      <c r="D90" s="7">
        <f>D86</f>
        <v>402.4</v>
      </c>
      <c r="E90" s="112">
        <f>E86</f>
        <v>528.9</v>
      </c>
      <c r="F90" s="112">
        <f>D90</f>
        <v>402.4</v>
      </c>
      <c r="G90" s="17" t="s">
        <v>130</v>
      </c>
      <c r="H90" s="54" t="s">
        <v>130</v>
      </c>
      <c r="J90" s="111"/>
      <c r="K90" s="111"/>
    </row>
    <row r="91" spans="1:17" ht="27.75" customHeight="1">
      <c r="A91" s="53" t="s">
        <v>24</v>
      </c>
      <c r="B91" s="6">
        <v>8022</v>
      </c>
      <c r="C91" s="7">
        <f t="shared" ref="C91:E92" si="9">C87</f>
        <v>3579</v>
      </c>
      <c r="D91" s="7">
        <f t="shared" si="9"/>
        <v>4410.8999999999996</v>
      </c>
      <c r="E91" s="112">
        <f>E87</f>
        <v>4420.1000000000004</v>
      </c>
      <c r="F91" s="112">
        <f>D91</f>
        <v>4410.8999999999996</v>
      </c>
      <c r="G91" s="17" t="s">
        <v>130</v>
      </c>
      <c r="H91" s="54" t="s">
        <v>130</v>
      </c>
      <c r="J91" s="111"/>
      <c r="K91" s="114"/>
      <c r="M91" s="113"/>
    </row>
    <row r="92" spans="1:17" ht="27.75" customHeight="1">
      <c r="A92" s="53" t="s">
        <v>22</v>
      </c>
      <c r="B92" s="6">
        <v>8023</v>
      </c>
      <c r="C92" s="7">
        <f t="shared" si="9"/>
        <v>37959</v>
      </c>
      <c r="D92" s="7">
        <f t="shared" si="9"/>
        <v>45966.400000000001</v>
      </c>
      <c r="E92" s="112">
        <f t="shared" si="9"/>
        <v>34984.6</v>
      </c>
      <c r="F92" s="112">
        <f>D92</f>
        <v>45966.400000000001</v>
      </c>
      <c r="G92" s="17" t="s">
        <v>130</v>
      </c>
      <c r="H92" s="54" t="s">
        <v>130</v>
      </c>
      <c r="J92" s="111"/>
      <c r="M92" s="113"/>
    </row>
    <row r="93" spans="1:17" s="26" customFormat="1" ht="59.25" customHeight="1">
      <c r="A93" s="51" t="s">
        <v>48</v>
      </c>
      <c r="B93" s="14" t="s">
        <v>72</v>
      </c>
      <c r="C93" s="15">
        <v>8781</v>
      </c>
      <c r="D93" s="15">
        <f>(D89/D81)/9*1000</f>
        <v>12346.146365183564</v>
      </c>
      <c r="E93" s="15">
        <f>(E89/E81)/9*1000</f>
        <v>8467.6844783715005</v>
      </c>
      <c r="F93" s="15">
        <f>(F89/F81)/9*1000</f>
        <v>12346.146365183564</v>
      </c>
      <c r="G93" s="15" t="s">
        <v>130</v>
      </c>
      <c r="H93" s="52" t="s">
        <v>130</v>
      </c>
      <c r="M93" s="118"/>
    </row>
    <row r="94" spans="1:17" ht="27.75" customHeight="1">
      <c r="A94" s="53" t="s">
        <v>21</v>
      </c>
      <c r="B94" s="6">
        <v>8031</v>
      </c>
      <c r="C94" s="16">
        <v>38778</v>
      </c>
      <c r="D94" s="16">
        <f>(D90/D82)/9*1000</f>
        <v>44711.111111111109</v>
      </c>
      <c r="E94" s="16">
        <f>(E90/E82)/9*1000</f>
        <v>58766.666666666664</v>
      </c>
      <c r="F94" s="16">
        <f>D94</f>
        <v>44711.111111111109</v>
      </c>
      <c r="G94" s="16" t="s">
        <v>130</v>
      </c>
      <c r="H94" s="54" t="s">
        <v>130</v>
      </c>
    </row>
    <row r="95" spans="1:17" ht="27.75" customHeight="1">
      <c r="A95" s="53" t="s">
        <v>24</v>
      </c>
      <c r="B95" s="6">
        <v>8032</v>
      </c>
      <c r="C95" s="16">
        <v>6857</v>
      </c>
      <c r="D95" s="16">
        <f>(D91/D83)/9*1000</f>
        <v>9802</v>
      </c>
      <c r="E95" s="16">
        <f>C95</f>
        <v>6857</v>
      </c>
      <c r="F95" s="16">
        <f>D95</f>
        <v>9802</v>
      </c>
      <c r="G95" s="16" t="s">
        <v>130</v>
      </c>
      <c r="H95" s="54" t="s">
        <v>130</v>
      </c>
    </row>
    <row r="96" spans="1:17" ht="27.75" customHeight="1" thickBot="1">
      <c r="A96" s="55" t="s">
        <v>22</v>
      </c>
      <c r="B96" s="13">
        <v>8033</v>
      </c>
      <c r="C96" s="56">
        <v>8955</v>
      </c>
      <c r="D96" s="56">
        <f>(D92/D84)/9*1000</f>
        <v>12579.748221127533</v>
      </c>
      <c r="E96" s="56">
        <f>C96</f>
        <v>8955</v>
      </c>
      <c r="F96" s="16">
        <f>D96</f>
        <v>12579.748221127533</v>
      </c>
      <c r="G96" s="56" t="s">
        <v>130</v>
      </c>
      <c r="H96" s="49" t="s">
        <v>130</v>
      </c>
    </row>
    <row r="97" spans="1:20" s="26" customFormat="1">
      <c r="A97" s="104"/>
      <c r="C97" s="105"/>
      <c r="D97" s="106"/>
      <c r="E97" s="107"/>
      <c r="F97" s="107"/>
      <c r="G97" s="107"/>
      <c r="H97" s="107"/>
    </row>
    <row r="98" spans="1:20" s="26" customFormat="1">
      <c r="A98" s="104"/>
      <c r="C98" s="105"/>
      <c r="D98" s="106"/>
      <c r="E98" s="107"/>
      <c r="F98" s="107"/>
      <c r="G98" s="107"/>
      <c r="H98" s="107"/>
      <c r="T98" s="118"/>
    </row>
    <row r="99" spans="1:20" s="26" customFormat="1" ht="28.5" customHeight="1">
      <c r="A99" s="143" t="s">
        <v>542</v>
      </c>
      <c r="B99" s="108"/>
      <c r="C99" s="293"/>
      <c r="D99" s="294"/>
      <c r="E99" s="109"/>
      <c r="F99" s="109"/>
      <c r="G99" s="304" t="s">
        <v>204</v>
      </c>
      <c r="H99" s="304"/>
      <c r="I99" s="305"/>
    </row>
    <row r="100" spans="1:20" s="26" customFormat="1">
      <c r="A100" s="26" t="s">
        <v>10</v>
      </c>
      <c r="B100" s="101"/>
      <c r="C100" s="291" t="s">
        <v>11</v>
      </c>
      <c r="D100" s="291"/>
      <c r="E100" s="102"/>
      <c r="F100" s="102"/>
      <c r="G100" s="292" t="s">
        <v>16</v>
      </c>
      <c r="H100" s="292"/>
      <c r="I100" s="117"/>
    </row>
    <row r="101" spans="1:20" s="26" customFormat="1">
      <c r="A101" s="110"/>
      <c r="E101" s="101"/>
      <c r="F101" s="101"/>
      <c r="G101" s="101"/>
      <c r="H101" s="101"/>
      <c r="I101" s="117"/>
    </row>
    <row r="102" spans="1:20" s="26" customFormat="1">
      <c r="A102" s="110"/>
      <c r="E102" s="101"/>
      <c r="F102" s="101"/>
      <c r="G102" s="101"/>
      <c r="H102" s="101"/>
    </row>
    <row r="103" spans="1:20" s="26" customFormat="1">
      <c r="A103" s="110"/>
      <c r="E103" s="101"/>
      <c r="F103" s="101"/>
      <c r="G103" s="101"/>
      <c r="H103" s="101"/>
    </row>
    <row r="104" spans="1:20" s="26" customFormat="1">
      <c r="A104" s="110"/>
      <c r="E104" s="101"/>
      <c r="F104" s="101"/>
      <c r="G104" s="101"/>
      <c r="H104" s="101"/>
    </row>
    <row r="105" spans="1:20" s="26" customFormat="1">
      <c r="A105" s="110"/>
      <c r="E105" s="101"/>
      <c r="F105" s="101"/>
      <c r="G105" s="101"/>
      <c r="H105" s="101"/>
    </row>
    <row r="106" spans="1:20" s="26" customFormat="1">
      <c r="A106" s="110"/>
      <c r="E106" s="101"/>
      <c r="F106" s="101"/>
      <c r="G106" s="101"/>
      <c r="H106" s="101"/>
    </row>
    <row r="107" spans="1:20" s="26" customFormat="1">
      <c r="A107" s="110"/>
      <c r="E107" s="101"/>
      <c r="F107" s="101"/>
      <c r="G107" s="101"/>
      <c r="H107" s="101"/>
    </row>
    <row r="108" spans="1:20" s="26" customFormat="1">
      <c r="A108" s="110"/>
      <c r="E108" s="101"/>
      <c r="F108" s="101"/>
      <c r="G108" s="101"/>
      <c r="H108" s="101"/>
    </row>
    <row r="109" spans="1:20" s="26" customFormat="1">
      <c r="A109" s="110"/>
      <c r="E109" s="101"/>
      <c r="F109" s="101"/>
      <c r="G109" s="101"/>
      <c r="H109" s="101"/>
    </row>
    <row r="110" spans="1:20" s="26" customFormat="1">
      <c r="A110" s="110"/>
      <c r="E110" s="101"/>
      <c r="F110" s="101"/>
      <c r="G110" s="101"/>
      <c r="H110" s="101"/>
    </row>
    <row r="111" spans="1:20" s="26" customFormat="1">
      <c r="A111" s="110"/>
      <c r="E111" s="101"/>
      <c r="F111" s="101"/>
      <c r="G111" s="101"/>
      <c r="H111" s="101"/>
    </row>
    <row r="112" spans="1:20" s="26" customFormat="1">
      <c r="A112" s="110"/>
      <c r="E112" s="101"/>
      <c r="F112" s="101"/>
      <c r="G112" s="101"/>
      <c r="H112" s="101"/>
    </row>
    <row r="113" spans="1:8" s="26" customFormat="1">
      <c r="A113" s="110"/>
      <c r="E113" s="101"/>
      <c r="F113" s="101"/>
      <c r="G113" s="101"/>
      <c r="H113" s="101"/>
    </row>
    <row r="114" spans="1:8" s="26" customFormat="1">
      <c r="A114" s="110"/>
      <c r="E114" s="101"/>
      <c r="F114" s="101"/>
      <c r="G114" s="101"/>
      <c r="H114" s="101"/>
    </row>
    <row r="115" spans="1:8" s="26" customFormat="1">
      <c r="A115" s="110"/>
      <c r="E115" s="101"/>
      <c r="F115" s="101"/>
      <c r="G115" s="101"/>
      <c r="H115" s="101"/>
    </row>
    <row r="116" spans="1:8" s="26" customFormat="1">
      <c r="A116" s="110"/>
      <c r="E116" s="101"/>
      <c r="F116" s="101"/>
      <c r="G116" s="101"/>
      <c r="H116" s="101"/>
    </row>
    <row r="117" spans="1:8" s="26" customFormat="1">
      <c r="A117" s="110"/>
      <c r="E117" s="101"/>
      <c r="F117" s="101"/>
      <c r="G117" s="101"/>
      <c r="H117" s="101"/>
    </row>
    <row r="118" spans="1:8" s="26" customFormat="1">
      <c r="A118" s="110"/>
      <c r="E118" s="101"/>
      <c r="F118" s="101"/>
      <c r="G118" s="101"/>
      <c r="H118" s="101"/>
    </row>
    <row r="119" spans="1:8" s="26" customFormat="1">
      <c r="A119" s="110"/>
      <c r="E119" s="101"/>
      <c r="F119" s="101"/>
      <c r="G119" s="101"/>
      <c r="H119" s="101"/>
    </row>
    <row r="120" spans="1:8" s="26" customFormat="1">
      <c r="A120" s="110"/>
      <c r="E120" s="101"/>
      <c r="F120" s="101"/>
      <c r="G120" s="101"/>
      <c r="H120" s="101"/>
    </row>
    <row r="121" spans="1:8" s="26" customFormat="1">
      <c r="A121" s="110"/>
      <c r="E121" s="101"/>
      <c r="F121" s="101"/>
      <c r="G121" s="101"/>
      <c r="H121" s="101"/>
    </row>
    <row r="122" spans="1:8" s="26" customFormat="1">
      <c r="A122" s="110"/>
      <c r="E122" s="101"/>
      <c r="F122" s="101"/>
      <c r="G122" s="101"/>
      <c r="H122" s="101"/>
    </row>
    <row r="123" spans="1:8" s="26" customFormat="1">
      <c r="A123" s="110"/>
      <c r="E123" s="101"/>
      <c r="F123" s="101"/>
      <c r="G123" s="101"/>
      <c r="H123" s="101"/>
    </row>
    <row r="124" spans="1:8" s="26" customFormat="1">
      <c r="A124" s="110"/>
      <c r="E124" s="101"/>
      <c r="F124" s="101"/>
      <c r="G124" s="101"/>
      <c r="H124" s="101"/>
    </row>
    <row r="125" spans="1:8" s="26" customFormat="1">
      <c r="A125" s="110"/>
      <c r="E125" s="101"/>
      <c r="F125" s="101"/>
      <c r="G125" s="101"/>
      <c r="H125" s="101"/>
    </row>
    <row r="126" spans="1:8" s="26" customFormat="1">
      <c r="A126" s="110"/>
      <c r="E126" s="101"/>
      <c r="F126" s="101"/>
      <c r="G126" s="101"/>
      <c r="H126" s="101"/>
    </row>
    <row r="127" spans="1:8" s="26" customFormat="1">
      <c r="A127" s="110"/>
      <c r="E127" s="101"/>
      <c r="F127" s="101"/>
      <c r="G127" s="101"/>
      <c r="H127" s="101"/>
    </row>
    <row r="128" spans="1:8" s="26" customFormat="1">
      <c r="A128" s="110"/>
      <c r="E128" s="101"/>
      <c r="F128" s="101"/>
      <c r="G128" s="101"/>
      <c r="H128" s="101"/>
    </row>
    <row r="129" spans="1:8" s="26" customFormat="1">
      <c r="A129" s="110"/>
      <c r="E129" s="101"/>
      <c r="F129" s="101"/>
      <c r="G129" s="101"/>
      <c r="H129" s="101"/>
    </row>
    <row r="130" spans="1:8" s="26" customFormat="1">
      <c r="A130" s="110"/>
      <c r="E130" s="101"/>
      <c r="F130" s="101"/>
      <c r="G130" s="101"/>
      <c r="H130" s="101"/>
    </row>
    <row r="131" spans="1:8" s="26" customFormat="1">
      <c r="A131" s="110"/>
      <c r="E131" s="101"/>
      <c r="F131" s="101"/>
      <c r="G131" s="101"/>
      <c r="H131" s="101"/>
    </row>
    <row r="132" spans="1:8" s="26" customFormat="1">
      <c r="A132" s="110"/>
      <c r="E132" s="101"/>
      <c r="F132" s="101"/>
      <c r="G132" s="101"/>
      <c r="H132" s="101"/>
    </row>
    <row r="133" spans="1:8" s="26" customFormat="1">
      <c r="A133" s="110"/>
      <c r="E133" s="101"/>
      <c r="F133" s="101"/>
      <c r="G133" s="101"/>
      <c r="H133" s="101"/>
    </row>
    <row r="134" spans="1:8" s="26" customFormat="1">
      <c r="A134" s="110"/>
      <c r="E134" s="101"/>
      <c r="F134" s="101"/>
      <c r="G134" s="101"/>
      <c r="H134" s="101"/>
    </row>
    <row r="135" spans="1:8" s="26" customFormat="1">
      <c r="A135" s="110"/>
      <c r="E135" s="101"/>
      <c r="F135" s="101"/>
      <c r="G135" s="101"/>
      <c r="H135" s="101"/>
    </row>
    <row r="136" spans="1:8" s="26" customFormat="1">
      <c r="A136" s="110"/>
      <c r="E136" s="101"/>
      <c r="F136" s="101"/>
      <c r="G136" s="101"/>
      <c r="H136" s="101"/>
    </row>
    <row r="137" spans="1:8" s="26" customFormat="1">
      <c r="A137" s="110"/>
      <c r="E137" s="101"/>
      <c r="F137" s="101"/>
      <c r="G137" s="101"/>
      <c r="H137" s="101"/>
    </row>
    <row r="138" spans="1:8" s="26" customFormat="1">
      <c r="A138" s="110"/>
      <c r="E138" s="101"/>
      <c r="F138" s="101"/>
      <c r="G138" s="101"/>
      <c r="H138" s="101"/>
    </row>
    <row r="139" spans="1:8" s="26" customFormat="1">
      <c r="A139" s="110"/>
      <c r="E139" s="101"/>
      <c r="F139" s="101"/>
      <c r="G139" s="101"/>
      <c r="H139" s="101"/>
    </row>
    <row r="140" spans="1:8" s="26" customFormat="1">
      <c r="A140" s="110"/>
      <c r="E140" s="101"/>
      <c r="F140" s="101"/>
      <c r="G140" s="101"/>
      <c r="H140" s="101"/>
    </row>
    <row r="141" spans="1:8" s="26" customFormat="1">
      <c r="A141" s="110"/>
      <c r="E141" s="101"/>
      <c r="F141" s="101"/>
      <c r="G141" s="101"/>
      <c r="H141" s="101"/>
    </row>
    <row r="142" spans="1:8" s="26" customFormat="1">
      <c r="A142" s="110"/>
      <c r="E142" s="101"/>
      <c r="F142" s="101"/>
      <c r="G142" s="101"/>
      <c r="H142" s="101"/>
    </row>
    <row r="143" spans="1:8" s="26" customFormat="1">
      <c r="A143" s="110"/>
      <c r="E143" s="101"/>
      <c r="F143" s="101"/>
      <c r="G143" s="101"/>
      <c r="H143" s="101"/>
    </row>
    <row r="144" spans="1:8" s="26" customFormat="1">
      <c r="A144" s="110"/>
      <c r="E144" s="101"/>
      <c r="F144" s="101"/>
      <c r="G144" s="101"/>
      <c r="H144" s="101"/>
    </row>
    <row r="145" spans="1:8" s="26" customFormat="1">
      <c r="A145" s="110"/>
      <c r="E145" s="101"/>
      <c r="F145" s="101"/>
      <c r="G145" s="101"/>
      <c r="H145" s="101"/>
    </row>
    <row r="146" spans="1:8" s="26" customFormat="1">
      <c r="A146" s="110"/>
      <c r="E146" s="101"/>
      <c r="F146" s="101"/>
      <c r="G146" s="101"/>
      <c r="H146" s="101"/>
    </row>
    <row r="147" spans="1:8" s="26" customFormat="1">
      <c r="A147" s="110"/>
      <c r="E147" s="101"/>
      <c r="F147" s="101"/>
      <c r="G147" s="101"/>
      <c r="H147" s="101"/>
    </row>
    <row r="148" spans="1:8" s="26" customFormat="1">
      <c r="A148" s="110"/>
      <c r="E148" s="101"/>
      <c r="F148" s="101"/>
      <c r="G148" s="101"/>
      <c r="H148" s="101"/>
    </row>
    <row r="149" spans="1:8" s="26" customFormat="1">
      <c r="A149" s="110"/>
      <c r="E149" s="101"/>
      <c r="F149" s="101"/>
      <c r="G149" s="101"/>
      <c r="H149" s="101"/>
    </row>
    <row r="150" spans="1:8" s="26" customFormat="1">
      <c r="A150" s="110"/>
      <c r="E150" s="101"/>
      <c r="F150" s="101"/>
      <c r="G150" s="101"/>
      <c r="H150" s="101"/>
    </row>
    <row r="151" spans="1:8" s="26" customFormat="1">
      <c r="A151" s="110"/>
      <c r="E151" s="101"/>
      <c r="F151" s="101"/>
      <c r="G151" s="101"/>
      <c r="H151" s="101"/>
    </row>
    <row r="152" spans="1:8" s="26" customFormat="1">
      <c r="A152" s="110"/>
      <c r="E152" s="101"/>
      <c r="F152" s="101"/>
      <c r="G152" s="101"/>
      <c r="H152" s="101"/>
    </row>
    <row r="153" spans="1:8" s="26" customFormat="1">
      <c r="A153" s="110"/>
      <c r="E153" s="101"/>
      <c r="F153" s="101"/>
      <c r="G153" s="101"/>
      <c r="H153" s="101"/>
    </row>
    <row r="154" spans="1:8" s="26" customFormat="1">
      <c r="A154" s="110"/>
      <c r="E154" s="101"/>
      <c r="F154" s="101"/>
      <c r="G154" s="101"/>
      <c r="H154" s="101"/>
    </row>
    <row r="155" spans="1:8" s="26" customFormat="1">
      <c r="A155" s="110"/>
      <c r="E155" s="101"/>
      <c r="F155" s="101"/>
      <c r="G155" s="101"/>
      <c r="H155" s="101"/>
    </row>
    <row r="156" spans="1:8" s="26" customFormat="1">
      <c r="A156" s="110"/>
      <c r="E156" s="101"/>
      <c r="F156" s="101"/>
      <c r="G156" s="101"/>
      <c r="H156" s="101"/>
    </row>
    <row r="157" spans="1:8" s="26" customFormat="1">
      <c r="A157" s="110"/>
      <c r="E157" s="101"/>
      <c r="F157" s="101"/>
      <c r="G157" s="101"/>
      <c r="H157" s="101"/>
    </row>
    <row r="158" spans="1:8" s="26" customFormat="1">
      <c r="A158" s="110"/>
      <c r="E158" s="101"/>
      <c r="F158" s="101"/>
      <c r="G158" s="101"/>
      <c r="H158" s="101"/>
    </row>
    <row r="159" spans="1:8" s="26" customFormat="1">
      <c r="A159" s="110"/>
      <c r="E159" s="101"/>
      <c r="F159" s="101"/>
      <c r="G159" s="101"/>
      <c r="H159" s="101"/>
    </row>
    <row r="160" spans="1:8" s="26" customFormat="1">
      <c r="A160" s="110"/>
      <c r="E160" s="101"/>
      <c r="F160" s="101"/>
      <c r="G160" s="101"/>
      <c r="H160" s="101"/>
    </row>
    <row r="161" spans="1:8" s="26" customFormat="1">
      <c r="A161" s="110"/>
      <c r="E161" s="101"/>
      <c r="F161" s="101"/>
      <c r="G161" s="101"/>
      <c r="H161" s="101"/>
    </row>
    <row r="162" spans="1:8" s="26" customFormat="1">
      <c r="A162" s="110"/>
      <c r="E162" s="101"/>
      <c r="F162" s="101"/>
      <c r="G162" s="101"/>
      <c r="H162" s="101"/>
    </row>
    <row r="163" spans="1:8" s="26" customFormat="1">
      <c r="A163" s="110"/>
      <c r="E163" s="101"/>
      <c r="F163" s="101"/>
      <c r="G163" s="101"/>
      <c r="H163" s="101"/>
    </row>
    <row r="164" spans="1:8" s="26" customFormat="1">
      <c r="A164" s="110"/>
      <c r="E164" s="101"/>
      <c r="F164" s="101"/>
      <c r="G164" s="101"/>
      <c r="H164" s="101"/>
    </row>
    <row r="165" spans="1:8" s="26" customFormat="1">
      <c r="A165" s="110"/>
      <c r="E165" s="101"/>
      <c r="F165" s="101"/>
      <c r="G165" s="101"/>
      <c r="H165" s="101"/>
    </row>
    <row r="166" spans="1:8" s="26" customFormat="1">
      <c r="A166" s="110"/>
      <c r="E166" s="101"/>
      <c r="F166" s="101"/>
      <c r="G166" s="101"/>
      <c r="H166" s="101"/>
    </row>
    <row r="167" spans="1:8" s="26" customFormat="1">
      <c r="A167" s="110"/>
      <c r="E167" s="101"/>
      <c r="F167" s="101"/>
      <c r="G167" s="101"/>
      <c r="H167" s="101"/>
    </row>
    <row r="168" spans="1:8" s="26" customFormat="1">
      <c r="A168" s="110"/>
      <c r="E168" s="101"/>
      <c r="F168" s="101"/>
      <c r="G168" s="101"/>
      <c r="H168" s="101"/>
    </row>
    <row r="169" spans="1:8" s="26" customFormat="1">
      <c r="A169" s="110"/>
      <c r="E169" s="101"/>
      <c r="F169" s="101"/>
      <c r="G169" s="101"/>
      <c r="H169" s="101"/>
    </row>
    <row r="170" spans="1:8" s="26" customFormat="1">
      <c r="A170" s="110"/>
      <c r="E170" s="101"/>
      <c r="F170" s="101"/>
      <c r="G170" s="101"/>
      <c r="H170" s="101"/>
    </row>
    <row r="171" spans="1:8" s="26" customFormat="1">
      <c r="A171" s="110"/>
      <c r="E171" s="101"/>
      <c r="F171" s="101"/>
      <c r="G171" s="101"/>
      <c r="H171" s="101"/>
    </row>
    <row r="172" spans="1:8" s="26" customFormat="1">
      <c r="A172" s="110"/>
      <c r="E172" s="101"/>
      <c r="F172" s="101"/>
      <c r="G172" s="101"/>
      <c r="H172" s="101"/>
    </row>
    <row r="173" spans="1:8" s="26" customFormat="1">
      <c r="A173" s="110"/>
      <c r="E173" s="101"/>
      <c r="F173" s="101"/>
      <c r="G173" s="101"/>
      <c r="H173" s="101"/>
    </row>
    <row r="174" spans="1:8" s="26" customFormat="1">
      <c r="A174" s="110"/>
      <c r="E174" s="101"/>
      <c r="F174" s="101"/>
      <c r="G174" s="101"/>
      <c r="H174" s="101"/>
    </row>
    <row r="175" spans="1:8" s="26" customFormat="1">
      <c r="A175" s="110"/>
      <c r="E175" s="101"/>
      <c r="F175" s="101"/>
      <c r="G175" s="101"/>
      <c r="H175" s="101"/>
    </row>
    <row r="176" spans="1:8" s="26" customFormat="1">
      <c r="A176" s="110"/>
      <c r="E176" s="101"/>
      <c r="F176" s="101"/>
      <c r="G176" s="101"/>
      <c r="H176" s="101"/>
    </row>
    <row r="177" spans="1:8" s="26" customFormat="1">
      <c r="A177" s="110"/>
      <c r="E177" s="101"/>
      <c r="F177" s="101"/>
      <c r="G177" s="101"/>
      <c r="H177" s="101"/>
    </row>
    <row r="178" spans="1:8" s="26" customFormat="1">
      <c r="A178" s="110"/>
      <c r="E178" s="101"/>
      <c r="F178" s="101"/>
      <c r="G178" s="101"/>
      <c r="H178" s="101"/>
    </row>
    <row r="179" spans="1:8" s="26" customFormat="1">
      <c r="A179" s="110"/>
      <c r="E179" s="101"/>
      <c r="F179" s="101"/>
      <c r="G179" s="101"/>
      <c r="H179" s="101"/>
    </row>
    <row r="180" spans="1:8" s="26" customFormat="1">
      <c r="A180" s="110"/>
      <c r="E180" s="101"/>
      <c r="F180" s="101"/>
      <c r="G180" s="101"/>
      <c r="H180" s="101"/>
    </row>
    <row r="181" spans="1:8" s="26" customFormat="1">
      <c r="A181" s="110"/>
      <c r="E181" s="101"/>
      <c r="F181" s="101"/>
      <c r="G181" s="101"/>
      <c r="H181" s="101"/>
    </row>
    <row r="182" spans="1:8" s="26" customFormat="1">
      <c r="A182" s="110"/>
      <c r="E182" s="101"/>
      <c r="F182" s="101"/>
      <c r="G182" s="101"/>
      <c r="H182" s="101"/>
    </row>
    <row r="183" spans="1:8" s="26" customFormat="1">
      <c r="A183" s="110"/>
      <c r="E183" s="101"/>
      <c r="F183" s="101"/>
      <c r="G183" s="101"/>
      <c r="H183" s="101"/>
    </row>
    <row r="184" spans="1:8" s="26" customFormat="1">
      <c r="A184" s="110"/>
      <c r="E184" s="101"/>
      <c r="F184" s="101"/>
      <c r="G184" s="101"/>
      <c r="H184" s="101"/>
    </row>
    <row r="185" spans="1:8" s="26" customFormat="1">
      <c r="A185" s="110"/>
      <c r="E185" s="101"/>
      <c r="F185" s="101"/>
      <c r="G185" s="101"/>
      <c r="H185" s="101"/>
    </row>
    <row r="186" spans="1:8" s="26" customFormat="1">
      <c r="A186" s="110"/>
      <c r="E186" s="101"/>
      <c r="F186" s="101"/>
      <c r="G186" s="101"/>
      <c r="H186" s="101"/>
    </row>
    <row r="187" spans="1:8" s="26" customFormat="1">
      <c r="A187" s="110"/>
      <c r="E187" s="101"/>
      <c r="F187" s="101"/>
      <c r="G187" s="101"/>
      <c r="H187" s="101"/>
    </row>
    <row r="188" spans="1:8" s="26" customFormat="1">
      <c r="A188" s="110"/>
      <c r="E188" s="101"/>
      <c r="F188" s="101"/>
      <c r="G188" s="101"/>
      <c r="H188" s="101"/>
    </row>
    <row r="189" spans="1:8" s="26" customFormat="1">
      <c r="A189" s="110"/>
      <c r="E189" s="101"/>
      <c r="F189" s="101"/>
      <c r="G189" s="101"/>
      <c r="H189" s="101"/>
    </row>
    <row r="190" spans="1:8" s="26" customFormat="1">
      <c r="A190" s="110"/>
      <c r="E190" s="101"/>
      <c r="F190" s="101"/>
      <c r="G190" s="101"/>
      <c r="H190" s="101"/>
    </row>
    <row r="191" spans="1:8" s="26" customFormat="1">
      <c r="A191" s="110"/>
      <c r="E191" s="101"/>
      <c r="F191" s="101"/>
      <c r="G191" s="101"/>
      <c r="H191" s="101"/>
    </row>
    <row r="192" spans="1:8" s="26" customFormat="1">
      <c r="A192" s="110"/>
      <c r="E192" s="101"/>
      <c r="F192" s="101"/>
      <c r="G192" s="101"/>
      <c r="H192" s="101"/>
    </row>
    <row r="193" spans="1:8" s="26" customFormat="1">
      <c r="A193" s="110"/>
      <c r="E193" s="101"/>
      <c r="F193" s="101"/>
      <c r="G193" s="101"/>
      <c r="H193" s="101"/>
    </row>
    <row r="194" spans="1:8" s="26" customFormat="1">
      <c r="A194" s="110"/>
      <c r="E194" s="101"/>
      <c r="F194" s="101"/>
      <c r="G194" s="101"/>
      <c r="H194" s="101"/>
    </row>
    <row r="195" spans="1:8" s="26" customFormat="1">
      <c r="A195" s="110"/>
      <c r="E195" s="101"/>
      <c r="F195" s="101"/>
      <c r="G195" s="101"/>
      <c r="H195" s="101"/>
    </row>
    <row r="196" spans="1:8" s="26" customFormat="1">
      <c r="A196" s="110"/>
      <c r="E196" s="101"/>
      <c r="F196" s="101"/>
      <c r="G196" s="101"/>
      <c r="H196" s="101"/>
    </row>
    <row r="197" spans="1:8" s="26" customFormat="1">
      <c r="A197" s="110"/>
      <c r="E197" s="101"/>
      <c r="F197" s="101"/>
      <c r="G197" s="101"/>
      <c r="H197" s="101"/>
    </row>
    <row r="198" spans="1:8" s="26" customFormat="1">
      <c r="A198" s="110"/>
      <c r="E198" s="101"/>
      <c r="F198" s="101"/>
      <c r="G198" s="101"/>
      <c r="H198" s="101"/>
    </row>
    <row r="199" spans="1:8" s="26" customFormat="1">
      <c r="A199" s="110"/>
      <c r="E199" s="101"/>
      <c r="F199" s="101"/>
      <c r="G199" s="101"/>
      <c r="H199" s="101"/>
    </row>
    <row r="200" spans="1:8" s="26" customFormat="1">
      <c r="A200" s="110"/>
      <c r="E200" s="101"/>
      <c r="F200" s="101"/>
      <c r="G200" s="101"/>
      <c r="H200" s="101"/>
    </row>
    <row r="201" spans="1:8" s="26" customFormat="1">
      <c r="A201" s="110"/>
      <c r="E201" s="101"/>
      <c r="F201" s="101"/>
      <c r="G201" s="101"/>
      <c r="H201" s="101"/>
    </row>
    <row r="202" spans="1:8" s="26" customFormat="1">
      <c r="A202" s="110"/>
      <c r="E202" s="101"/>
      <c r="F202" s="101"/>
      <c r="G202" s="101"/>
      <c r="H202" s="101"/>
    </row>
    <row r="203" spans="1:8" s="26" customFormat="1">
      <c r="A203" s="110"/>
      <c r="E203" s="101"/>
      <c r="F203" s="101"/>
      <c r="G203" s="101"/>
      <c r="H203" s="101"/>
    </row>
    <row r="204" spans="1:8" s="26" customFormat="1">
      <c r="A204" s="110"/>
      <c r="E204" s="101"/>
      <c r="F204" s="101"/>
      <c r="G204" s="101"/>
      <c r="H204" s="101"/>
    </row>
    <row r="205" spans="1:8" s="26" customFormat="1">
      <c r="A205" s="110"/>
      <c r="E205" s="101"/>
      <c r="F205" s="101"/>
      <c r="G205" s="101"/>
      <c r="H205" s="101"/>
    </row>
    <row r="206" spans="1:8" s="26" customFormat="1">
      <c r="A206" s="110"/>
      <c r="E206" s="101"/>
      <c r="F206" s="101"/>
      <c r="G206" s="101"/>
      <c r="H206" s="101"/>
    </row>
    <row r="207" spans="1:8" s="26" customFormat="1">
      <c r="A207" s="110"/>
      <c r="E207" s="101"/>
      <c r="F207" s="101"/>
      <c r="G207" s="101"/>
      <c r="H207" s="101"/>
    </row>
    <row r="208" spans="1:8" s="26" customFormat="1">
      <c r="A208" s="110"/>
      <c r="E208" s="101"/>
      <c r="F208" s="101"/>
      <c r="G208" s="101"/>
      <c r="H208" s="101"/>
    </row>
    <row r="209" spans="1:8" s="26" customFormat="1">
      <c r="A209" s="110"/>
      <c r="E209" s="101"/>
      <c r="F209" s="101"/>
      <c r="G209" s="101"/>
      <c r="H209" s="101"/>
    </row>
    <row r="210" spans="1:8" s="26" customFormat="1">
      <c r="A210" s="110"/>
      <c r="E210" s="101"/>
      <c r="F210" s="101"/>
      <c r="G210" s="101"/>
      <c r="H210" s="101"/>
    </row>
    <row r="211" spans="1:8" s="26" customFormat="1">
      <c r="A211" s="110"/>
      <c r="E211" s="101"/>
      <c r="F211" s="101"/>
      <c r="G211" s="101"/>
      <c r="H211" s="101"/>
    </row>
    <row r="212" spans="1:8" s="26" customFormat="1">
      <c r="A212" s="110"/>
      <c r="E212" s="101"/>
      <c r="F212" s="101"/>
      <c r="G212" s="101"/>
      <c r="H212" s="101"/>
    </row>
    <row r="213" spans="1:8" s="26" customFormat="1">
      <c r="A213" s="110"/>
      <c r="E213" s="101"/>
      <c r="F213" s="101"/>
      <c r="G213" s="101"/>
      <c r="H213" s="101"/>
    </row>
    <row r="214" spans="1:8" s="26" customFormat="1">
      <c r="A214" s="110"/>
      <c r="E214" s="101"/>
      <c r="F214" s="101"/>
      <c r="G214" s="101"/>
      <c r="H214" s="101"/>
    </row>
    <row r="215" spans="1:8" s="26" customFormat="1">
      <c r="A215" s="110"/>
      <c r="E215" s="101"/>
      <c r="F215" s="101"/>
      <c r="G215" s="101"/>
      <c r="H215" s="101"/>
    </row>
    <row r="216" spans="1:8" s="26" customFormat="1">
      <c r="A216" s="110"/>
      <c r="E216" s="101"/>
      <c r="F216" s="101"/>
      <c r="G216" s="101"/>
      <c r="H216" s="101"/>
    </row>
    <row r="217" spans="1:8" s="26" customFormat="1">
      <c r="A217" s="110"/>
      <c r="E217" s="101"/>
      <c r="F217" s="101"/>
      <c r="G217" s="101"/>
      <c r="H217" s="101"/>
    </row>
    <row r="218" spans="1:8" s="26" customFormat="1">
      <c r="A218" s="110"/>
      <c r="E218" s="101"/>
      <c r="F218" s="101"/>
      <c r="G218" s="101"/>
      <c r="H218" s="101"/>
    </row>
    <row r="219" spans="1:8" s="26" customFormat="1">
      <c r="A219" s="110"/>
      <c r="E219" s="101"/>
      <c r="F219" s="101"/>
      <c r="G219" s="101"/>
      <c r="H219" s="101"/>
    </row>
    <row r="220" spans="1:8" s="26" customFormat="1">
      <c r="A220" s="110"/>
      <c r="E220" s="101"/>
      <c r="F220" s="101"/>
      <c r="G220" s="101"/>
      <c r="H220" s="101"/>
    </row>
    <row r="221" spans="1:8" s="26" customFormat="1">
      <c r="A221" s="110"/>
      <c r="E221" s="101"/>
      <c r="F221" s="101"/>
      <c r="G221" s="101"/>
      <c r="H221" s="101"/>
    </row>
    <row r="222" spans="1:8" s="26" customFormat="1">
      <c r="A222" s="110"/>
      <c r="E222" s="101"/>
      <c r="F222" s="101"/>
      <c r="G222" s="101"/>
      <c r="H222" s="101"/>
    </row>
    <row r="223" spans="1:8" s="26" customFormat="1">
      <c r="A223" s="110"/>
      <c r="E223" s="101"/>
      <c r="F223" s="101"/>
      <c r="G223" s="101"/>
      <c r="H223" s="101"/>
    </row>
    <row r="224" spans="1:8" s="26" customFormat="1">
      <c r="A224" s="110"/>
      <c r="E224" s="101"/>
      <c r="F224" s="101"/>
      <c r="G224" s="101"/>
      <c r="H224" s="101"/>
    </row>
    <row r="225" spans="1:8" s="26" customFormat="1">
      <c r="A225" s="110"/>
      <c r="E225" s="101"/>
      <c r="F225" s="101"/>
      <c r="G225" s="101"/>
      <c r="H225" s="101"/>
    </row>
    <row r="226" spans="1:8" s="26" customFormat="1">
      <c r="A226" s="110"/>
      <c r="E226" s="101"/>
      <c r="F226" s="101"/>
      <c r="G226" s="101"/>
      <c r="H226" s="101"/>
    </row>
    <row r="227" spans="1:8" s="26" customFormat="1">
      <c r="A227" s="110"/>
      <c r="E227" s="101"/>
      <c r="F227" s="101"/>
      <c r="G227" s="101"/>
      <c r="H227" s="101"/>
    </row>
    <row r="228" spans="1:8" s="26" customFormat="1">
      <c r="A228" s="110"/>
      <c r="E228" s="101"/>
      <c r="F228" s="101"/>
      <c r="G228" s="101"/>
      <c r="H228" s="101"/>
    </row>
    <row r="229" spans="1:8" s="26" customFormat="1">
      <c r="A229" s="110"/>
      <c r="E229" s="101"/>
      <c r="F229" s="101"/>
      <c r="G229" s="101"/>
      <c r="H229" s="101"/>
    </row>
    <row r="230" spans="1:8" s="26" customFormat="1">
      <c r="A230" s="110"/>
      <c r="E230" s="101"/>
      <c r="F230" s="101"/>
      <c r="G230" s="101"/>
      <c r="H230" s="101"/>
    </row>
    <row r="231" spans="1:8" s="26" customFormat="1">
      <c r="A231" s="110"/>
      <c r="E231" s="101"/>
      <c r="F231" s="101"/>
      <c r="G231" s="101"/>
      <c r="H231" s="101"/>
    </row>
    <row r="232" spans="1:8" s="26" customFormat="1">
      <c r="A232" s="110"/>
      <c r="E232" s="101"/>
      <c r="F232" s="101"/>
      <c r="G232" s="101"/>
      <c r="H232" s="101"/>
    </row>
    <row r="233" spans="1:8" s="26" customFormat="1">
      <c r="A233" s="110"/>
      <c r="E233" s="101"/>
      <c r="F233" s="101"/>
      <c r="G233" s="101"/>
      <c r="H233" s="101"/>
    </row>
    <row r="234" spans="1:8" s="26" customFormat="1">
      <c r="A234" s="110"/>
      <c r="E234" s="101"/>
      <c r="F234" s="101"/>
      <c r="G234" s="101"/>
      <c r="H234" s="101"/>
    </row>
    <row r="235" spans="1:8" s="26" customFormat="1">
      <c r="A235" s="110"/>
      <c r="E235" s="101"/>
      <c r="F235" s="101"/>
      <c r="G235" s="101"/>
      <c r="H235" s="101"/>
    </row>
    <row r="236" spans="1:8" s="26" customFormat="1">
      <c r="A236" s="110"/>
      <c r="E236" s="101"/>
      <c r="F236" s="101"/>
      <c r="G236" s="101"/>
      <c r="H236" s="101"/>
    </row>
    <row r="237" spans="1:8" s="26" customFormat="1">
      <c r="A237" s="110"/>
      <c r="E237" s="101"/>
      <c r="F237" s="101"/>
      <c r="G237" s="101"/>
      <c r="H237" s="101"/>
    </row>
    <row r="238" spans="1:8" s="26" customFormat="1">
      <c r="A238" s="110"/>
      <c r="E238" s="101"/>
      <c r="F238" s="101"/>
      <c r="G238" s="101"/>
      <c r="H238" s="101"/>
    </row>
    <row r="239" spans="1:8" s="26" customFormat="1">
      <c r="A239" s="110"/>
      <c r="E239" s="101"/>
      <c r="F239" s="101"/>
      <c r="G239" s="101"/>
      <c r="H239" s="101"/>
    </row>
    <row r="240" spans="1:8" s="26" customFormat="1">
      <c r="A240" s="110"/>
      <c r="E240" s="101"/>
      <c r="F240" s="101"/>
      <c r="G240" s="101"/>
      <c r="H240" s="101"/>
    </row>
    <row r="241" spans="1:8" s="26" customFormat="1">
      <c r="A241" s="110"/>
      <c r="E241" s="101"/>
      <c r="F241" s="101"/>
      <c r="G241" s="101"/>
      <c r="H241" s="101"/>
    </row>
    <row r="242" spans="1:8" s="26" customFormat="1">
      <c r="A242" s="110"/>
      <c r="E242" s="101"/>
      <c r="F242" s="101"/>
      <c r="G242" s="101"/>
      <c r="H242" s="101"/>
    </row>
    <row r="243" spans="1:8" s="26" customFormat="1">
      <c r="A243" s="110"/>
      <c r="E243" s="101"/>
      <c r="F243" s="101"/>
      <c r="G243" s="101"/>
      <c r="H243" s="101"/>
    </row>
    <row r="244" spans="1:8" s="26" customFormat="1">
      <c r="A244" s="110"/>
      <c r="E244" s="101"/>
      <c r="F244" s="101"/>
      <c r="G244" s="101"/>
      <c r="H244" s="101"/>
    </row>
    <row r="245" spans="1:8" s="26" customFormat="1">
      <c r="A245" s="110"/>
      <c r="E245" s="101"/>
      <c r="F245" s="101"/>
      <c r="G245" s="101"/>
      <c r="H245" s="101"/>
    </row>
    <row r="246" spans="1:8" s="26" customFormat="1">
      <c r="A246" s="110"/>
      <c r="E246" s="101"/>
      <c r="F246" s="101"/>
      <c r="G246" s="101"/>
      <c r="H246" s="101"/>
    </row>
    <row r="247" spans="1:8" s="26" customFormat="1">
      <c r="A247" s="110"/>
      <c r="E247" s="101"/>
      <c r="F247" s="101"/>
      <c r="G247" s="101"/>
      <c r="H247" s="101"/>
    </row>
    <row r="248" spans="1:8" s="26" customFormat="1">
      <c r="A248" s="110"/>
      <c r="E248" s="101"/>
      <c r="F248" s="101"/>
      <c r="G248" s="101"/>
      <c r="H248" s="101"/>
    </row>
    <row r="249" spans="1:8" s="26" customFormat="1">
      <c r="A249" s="110"/>
      <c r="E249" s="101"/>
      <c r="F249" s="101"/>
      <c r="G249" s="101"/>
      <c r="H249" s="101"/>
    </row>
    <row r="250" spans="1:8" s="26" customFormat="1">
      <c r="A250" s="110"/>
      <c r="E250" s="101"/>
      <c r="F250" s="101"/>
      <c r="G250" s="101"/>
      <c r="H250" s="101"/>
    </row>
    <row r="251" spans="1:8" s="26" customFormat="1">
      <c r="A251" s="110"/>
      <c r="E251" s="101"/>
      <c r="F251" s="101"/>
      <c r="G251" s="101"/>
      <c r="H251" s="101"/>
    </row>
  </sheetData>
  <mergeCells count="17">
    <mergeCell ref="C100:D100"/>
    <mergeCell ref="G100:H100"/>
    <mergeCell ref="C99:D99"/>
    <mergeCell ref="A78:H78"/>
    <mergeCell ref="A51:H51"/>
    <mergeCell ref="A69:H69"/>
    <mergeCell ref="C79:D79"/>
    <mergeCell ref="G99:I99"/>
    <mergeCell ref="E79:H79"/>
    <mergeCell ref="A44:H44"/>
    <mergeCell ref="A2:H2"/>
    <mergeCell ref="A1:H1"/>
    <mergeCell ref="A4:A5"/>
    <mergeCell ref="B4:B5"/>
    <mergeCell ref="A7:H7"/>
    <mergeCell ref="E4:H4"/>
    <mergeCell ref="C4:D4"/>
  </mergeCells>
  <phoneticPr fontId="3" type="noConversion"/>
  <pageMargins left="0.39370078740157483" right="0.39370078740157483" top="0.78740157480314965" bottom="0.39370078740157483" header="0.39370078740157483" footer="0.19685039370078741"/>
  <pageSetup paperSize="9" scale="70" orientation="landscape" verticalDpi="300" r:id="rId1"/>
  <headerFooter alignWithMargins="0"/>
  <ignoredErrors>
    <ignoredError sqref="B81:B8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AE346"/>
  <sheetViews>
    <sheetView view="pageBreakPreview" topLeftCell="A22" zoomScale="70" zoomScaleNormal="100" zoomScaleSheetLayoutView="70" workbookViewId="0">
      <selection activeCell="J37" sqref="J37"/>
    </sheetView>
  </sheetViews>
  <sheetFormatPr defaultRowHeight="18.75"/>
  <cols>
    <col min="1" max="1" width="9.140625" style="148"/>
    <col min="2" max="2" width="51.5703125" style="148" customWidth="1"/>
    <col min="3" max="3" width="12" style="150" customWidth="1"/>
    <col min="4" max="4" width="16.140625" style="150" customWidth="1"/>
    <col min="5" max="5" width="16.7109375" style="150" customWidth="1"/>
    <col min="6" max="6" width="16.140625" style="150" customWidth="1"/>
    <col min="7" max="7" width="16.140625" style="148" customWidth="1"/>
    <col min="8" max="8" width="17.5703125" style="148" customWidth="1"/>
    <col min="9" max="9" width="10.28515625" style="148" bestFit="1" customWidth="1"/>
    <col min="10" max="10" width="22.28515625" style="148" customWidth="1"/>
    <col min="11" max="11" width="15.140625" style="148" bestFit="1" customWidth="1"/>
    <col min="12" max="12" width="13.7109375" style="148" bestFit="1" customWidth="1"/>
    <col min="13" max="13" width="10.5703125" style="148" bestFit="1" customWidth="1"/>
    <col min="14" max="14" width="10.28515625" style="148" bestFit="1" customWidth="1"/>
    <col min="15" max="15" width="13.7109375" style="148" bestFit="1" customWidth="1"/>
    <col min="16" max="16384" width="9.140625" style="148"/>
  </cols>
  <sheetData>
    <row r="2" spans="1:31" ht="20.25">
      <c r="B2" s="309" t="s">
        <v>102</v>
      </c>
      <c r="C2" s="309"/>
      <c r="D2" s="309"/>
      <c r="E2" s="309"/>
      <c r="F2" s="309"/>
    </row>
    <row r="3" spans="1:31">
      <c r="B3" s="151"/>
      <c r="C3" s="152"/>
      <c r="D3" s="151"/>
      <c r="E3" s="151"/>
      <c r="F3" s="151"/>
      <c r="H3" s="148" t="s">
        <v>64</v>
      </c>
    </row>
    <row r="4" spans="1:31" ht="79.5" customHeight="1">
      <c r="A4" s="158" t="s">
        <v>75</v>
      </c>
      <c r="B4" s="158" t="s">
        <v>23</v>
      </c>
      <c r="C4" s="155" t="s">
        <v>5</v>
      </c>
      <c r="D4" s="155" t="s">
        <v>410</v>
      </c>
      <c r="E4" s="155" t="s">
        <v>411</v>
      </c>
      <c r="F4" s="155" t="s">
        <v>412</v>
      </c>
      <c r="G4" s="155" t="s">
        <v>111</v>
      </c>
      <c r="H4" s="155" t="s">
        <v>113</v>
      </c>
    </row>
    <row r="5" spans="1:31" ht="27.75" customHeight="1">
      <c r="A5" s="276">
        <v>1</v>
      </c>
      <c r="B5" s="276">
        <v>2</v>
      </c>
      <c r="C5" s="277">
        <v>3</v>
      </c>
      <c r="D5" s="277">
        <v>4</v>
      </c>
      <c r="E5" s="277">
        <v>5</v>
      </c>
      <c r="F5" s="277">
        <v>6</v>
      </c>
      <c r="G5" s="276">
        <v>7</v>
      </c>
      <c r="H5" s="276">
        <v>8</v>
      </c>
    </row>
    <row r="6" spans="1:31" ht="30.75" customHeight="1">
      <c r="A6" s="312" t="s">
        <v>74</v>
      </c>
      <c r="B6" s="312"/>
      <c r="C6" s="155"/>
      <c r="D6" s="161">
        <f>D7+D12+D22+D24</f>
        <v>71957.200000000012</v>
      </c>
      <c r="E6" s="161">
        <f>E7+E12+E22+E24</f>
        <v>65906.099999999991</v>
      </c>
      <c r="F6" s="161">
        <f>F7+F12+F22+F24</f>
        <v>78409.8</v>
      </c>
      <c r="G6" s="158">
        <f>F6-E6</f>
        <v>12503.700000000012</v>
      </c>
      <c r="H6" s="278">
        <f>(F6/E6)*100</f>
        <v>118.97199197039426</v>
      </c>
    </row>
    <row r="7" spans="1:31" ht="59.25" customHeight="1">
      <c r="A7" s="313" t="s">
        <v>73</v>
      </c>
      <c r="B7" s="313"/>
      <c r="C7" s="160">
        <v>1000</v>
      </c>
      <c r="D7" s="165">
        <f>SUM(D8:D11)</f>
        <v>56359</v>
      </c>
      <c r="E7" s="165">
        <f>SUM(E8:E11)</f>
        <v>58089.1</v>
      </c>
      <c r="F7" s="165">
        <f>SUM(F8:F11)</f>
        <v>63308.1</v>
      </c>
      <c r="G7" s="182">
        <f>F7-E7</f>
        <v>5219</v>
      </c>
      <c r="H7" s="182">
        <f>(F7/E7)*100</f>
        <v>108.98447385137659</v>
      </c>
      <c r="K7" s="163">
        <f>F6-E6</f>
        <v>12503.700000000012</v>
      </c>
    </row>
    <row r="8" spans="1:31" ht="45" customHeight="1">
      <c r="A8" s="192">
        <v>1</v>
      </c>
      <c r="B8" s="180" t="s">
        <v>205</v>
      </c>
      <c r="C8" s="160"/>
      <c r="D8" s="170">
        <v>54966.5</v>
      </c>
      <c r="E8" s="170">
        <v>54756.6</v>
      </c>
      <c r="F8" s="170">
        <v>62452.4</v>
      </c>
      <c r="G8" s="182">
        <f t="shared" ref="G8:G10" si="0">F8-E8</f>
        <v>7695.8000000000029</v>
      </c>
      <c r="H8" s="182">
        <f t="shared" ref="H8:H10" si="1">(F8/E8)*100</f>
        <v>114.05456145925787</v>
      </c>
    </row>
    <row r="9" spans="1:31" ht="57" customHeight="1">
      <c r="A9" s="192">
        <v>2</v>
      </c>
      <c r="B9" s="180" t="s">
        <v>273</v>
      </c>
      <c r="C9" s="160"/>
      <c r="D9" s="170">
        <v>741.4</v>
      </c>
      <c r="E9" s="170">
        <v>2495.5</v>
      </c>
      <c r="F9" s="170">
        <v>539.4</v>
      </c>
      <c r="G9" s="182">
        <f t="shared" si="0"/>
        <v>-1956.1</v>
      </c>
      <c r="H9" s="182">
        <f t="shared" si="1"/>
        <v>21.614906832298136</v>
      </c>
    </row>
    <row r="10" spans="1:31" ht="37.5" customHeight="1">
      <c r="A10" s="192">
        <v>3</v>
      </c>
      <c r="B10" s="180" t="s">
        <v>206</v>
      </c>
      <c r="C10" s="160"/>
      <c r="D10" s="170">
        <v>303.2</v>
      </c>
      <c r="E10" s="170">
        <v>450</v>
      </c>
      <c r="F10" s="170">
        <v>50.1</v>
      </c>
      <c r="G10" s="182">
        <f t="shared" si="0"/>
        <v>-399.9</v>
      </c>
      <c r="H10" s="182">
        <f t="shared" si="1"/>
        <v>11.133333333333335</v>
      </c>
    </row>
    <row r="11" spans="1:31" ht="65.25" customHeight="1">
      <c r="A11" s="192">
        <v>4</v>
      </c>
      <c r="B11" s="180" t="s">
        <v>533</v>
      </c>
      <c r="C11" s="155"/>
      <c r="D11" s="170">
        <v>347.9</v>
      </c>
      <c r="E11" s="170">
        <v>387</v>
      </c>
      <c r="F11" s="170">
        <v>266.2</v>
      </c>
      <c r="G11" s="182">
        <f>F11-E11</f>
        <v>-120.80000000000001</v>
      </c>
      <c r="H11" s="182">
        <f>(F11/E11)*100</f>
        <v>68.785529715762266</v>
      </c>
    </row>
    <row r="12" spans="1:31" ht="30.75" customHeight="1">
      <c r="A12" s="315" t="s">
        <v>35</v>
      </c>
      <c r="B12" s="315"/>
      <c r="C12" s="160">
        <v>1040</v>
      </c>
      <c r="D12" s="165">
        <f>SUM(D13:D21)</f>
        <v>14045.800000000001</v>
      </c>
      <c r="E12" s="165">
        <f>SUM(E13:E21)</f>
        <v>7799.0999999999995</v>
      </c>
      <c r="F12" s="165">
        <f>SUM(F13:F21)</f>
        <v>12521.599999999999</v>
      </c>
      <c r="G12" s="166">
        <f>F12-E12</f>
        <v>4722.4999999999991</v>
      </c>
      <c r="H12" s="166">
        <f>(F12/E12)*100</f>
        <v>160.55185854778117</v>
      </c>
    </row>
    <row r="13" spans="1:31" ht="55.5" customHeight="1">
      <c r="A13" s="181">
        <v>1</v>
      </c>
      <c r="B13" s="180" t="s">
        <v>207</v>
      </c>
      <c r="C13" s="160"/>
      <c r="D13" s="170">
        <v>172.6</v>
      </c>
      <c r="E13" s="170">
        <v>0</v>
      </c>
      <c r="F13" s="170">
        <v>0</v>
      </c>
      <c r="G13" s="182">
        <f t="shared" ref="G13:G21" si="2">F13-E13</f>
        <v>0</v>
      </c>
      <c r="H13" s="185" t="e">
        <f t="shared" ref="H13:H21" si="3">(F13/E13)*100</f>
        <v>#DIV/0!</v>
      </c>
      <c r="AE13" s="148" t="s">
        <v>252</v>
      </c>
    </row>
    <row r="14" spans="1:31" ht="61.5" customHeight="1">
      <c r="A14" s="181">
        <v>2</v>
      </c>
      <c r="B14" s="180" t="s">
        <v>208</v>
      </c>
      <c r="C14" s="160"/>
      <c r="D14" s="170">
        <v>41.7</v>
      </c>
      <c r="E14" s="170">
        <v>89.7</v>
      </c>
      <c r="F14" s="170">
        <v>0</v>
      </c>
      <c r="G14" s="182">
        <f t="shared" si="2"/>
        <v>-89.7</v>
      </c>
      <c r="H14" s="182">
        <f t="shared" si="3"/>
        <v>0</v>
      </c>
      <c r="K14" s="163"/>
    </row>
    <row r="15" spans="1:31" ht="49.5" customHeight="1">
      <c r="A15" s="192">
        <v>3</v>
      </c>
      <c r="B15" s="180" t="s">
        <v>548</v>
      </c>
      <c r="C15" s="160"/>
      <c r="D15" s="170">
        <v>10697.4</v>
      </c>
      <c r="E15" s="170">
        <v>7565</v>
      </c>
      <c r="F15" s="170">
        <f>9886-105.7</f>
        <v>9780.2999999999993</v>
      </c>
      <c r="G15" s="182">
        <f t="shared" si="2"/>
        <v>2215.2999999999993</v>
      </c>
      <c r="H15" s="182">
        <f t="shared" si="3"/>
        <v>129.28354263053535</v>
      </c>
      <c r="I15" s="163"/>
    </row>
    <row r="16" spans="1:31" ht="60.75" customHeight="1">
      <c r="A16" s="192">
        <v>5</v>
      </c>
      <c r="B16" s="180" t="s">
        <v>277</v>
      </c>
      <c r="C16" s="160"/>
      <c r="D16" s="170">
        <v>1123.2</v>
      </c>
      <c r="E16" s="170">
        <v>0</v>
      </c>
      <c r="F16" s="170">
        <v>105.7</v>
      </c>
      <c r="G16" s="182">
        <f t="shared" si="2"/>
        <v>105.7</v>
      </c>
      <c r="H16" s="185" t="e">
        <f t="shared" si="3"/>
        <v>#DIV/0!</v>
      </c>
    </row>
    <row r="17" spans="1:14" ht="75" customHeight="1">
      <c r="A17" s="192">
        <v>6</v>
      </c>
      <c r="B17" s="180" t="s">
        <v>535</v>
      </c>
      <c r="C17" s="160"/>
      <c r="D17" s="170"/>
      <c r="E17" s="170"/>
      <c r="F17" s="170">
        <f>143-32.7</f>
        <v>110.3</v>
      </c>
      <c r="G17" s="182">
        <f t="shared" si="2"/>
        <v>110.3</v>
      </c>
      <c r="H17" s="185" t="e">
        <f t="shared" si="3"/>
        <v>#DIV/0!</v>
      </c>
    </row>
    <row r="18" spans="1:14" ht="63" customHeight="1">
      <c r="A18" s="192">
        <v>7</v>
      </c>
      <c r="B18" s="180" t="s">
        <v>209</v>
      </c>
      <c r="C18" s="160"/>
      <c r="D18" s="170">
        <v>14.7</v>
      </c>
      <c r="E18" s="170">
        <v>18.5</v>
      </c>
      <c r="F18" s="165">
        <v>0</v>
      </c>
      <c r="G18" s="182">
        <f t="shared" si="2"/>
        <v>-18.5</v>
      </c>
      <c r="H18" s="182">
        <f t="shared" si="3"/>
        <v>0</v>
      </c>
      <c r="J18" s="163"/>
    </row>
    <row r="19" spans="1:14" ht="30.75" customHeight="1">
      <c r="A19" s="192">
        <v>8</v>
      </c>
      <c r="B19" s="180" t="s">
        <v>210</v>
      </c>
      <c r="C19" s="160"/>
      <c r="D19" s="170">
        <v>21.6</v>
      </c>
      <c r="E19" s="170">
        <v>125.9</v>
      </c>
      <c r="F19" s="165">
        <v>0</v>
      </c>
      <c r="G19" s="182">
        <f t="shared" si="2"/>
        <v>-125.9</v>
      </c>
      <c r="H19" s="182">
        <f t="shared" si="3"/>
        <v>0</v>
      </c>
      <c r="L19" s="163"/>
    </row>
    <row r="20" spans="1:14" ht="51" customHeight="1">
      <c r="A20" s="192">
        <v>9</v>
      </c>
      <c r="B20" s="180" t="s">
        <v>211</v>
      </c>
      <c r="C20" s="160"/>
      <c r="D20" s="170">
        <v>143.6</v>
      </c>
      <c r="E20" s="170"/>
      <c r="F20" s="170">
        <v>392</v>
      </c>
      <c r="G20" s="182">
        <f t="shared" si="2"/>
        <v>392</v>
      </c>
      <c r="H20" s="185" t="e">
        <f t="shared" si="3"/>
        <v>#DIV/0!</v>
      </c>
    </row>
    <row r="21" spans="1:14" ht="30.75" customHeight="1">
      <c r="A21" s="192">
        <v>10</v>
      </c>
      <c r="B21" s="180" t="s">
        <v>212</v>
      </c>
      <c r="C21" s="160"/>
      <c r="D21" s="170">
        <v>1831</v>
      </c>
      <c r="E21" s="170"/>
      <c r="F21" s="170">
        <f>2100.6+32.7</f>
        <v>2133.2999999999997</v>
      </c>
      <c r="G21" s="182">
        <f t="shared" si="2"/>
        <v>2133.2999999999997</v>
      </c>
      <c r="H21" s="185" t="e">
        <f t="shared" si="3"/>
        <v>#DIV/0!</v>
      </c>
      <c r="N21" s="163"/>
    </row>
    <row r="22" spans="1:14" ht="30.75" customHeight="1">
      <c r="A22" s="315" t="s">
        <v>76</v>
      </c>
      <c r="B22" s="315"/>
      <c r="C22" s="160">
        <v>1130</v>
      </c>
      <c r="D22" s="165">
        <f>D23</f>
        <v>21.1</v>
      </c>
      <c r="E22" s="165">
        <f>E23</f>
        <v>17.899999999999999</v>
      </c>
      <c r="F22" s="165">
        <f>F23</f>
        <v>38.799999999999997</v>
      </c>
      <c r="G22" s="166">
        <f>F22-E22</f>
        <v>20.9</v>
      </c>
      <c r="H22" s="166">
        <f>(F22/E22)*100</f>
        <v>216.75977653631287</v>
      </c>
    </row>
    <row r="23" spans="1:14" ht="45" customHeight="1">
      <c r="A23" s="192">
        <v>1</v>
      </c>
      <c r="B23" s="212" t="s">
        <v>214</v>
      </c>
      <c r="C23" s="155"/>
      <c r="D23" s="170">
        <v>21.1</v>
      </c>
      <c r="E23" s="170">
        <v>17.899999999999999</v>
      </c>
      <c r="F23" s="170">
        <v>38.799999999999997</v>
      </c>
      <c r="G23" s="182">
        <f>F23-E23</f>
        <v>20.9</v>
      </c>
      <c r="H23" s="182">
        <f>(F23/E23)*100</f>
        <v>216.75977653631287</v>
      </c>
    </row>
    <row r="24" spans="1:14" ht="30.75" customHeight="1">
      <c r="A24" s="315" t="s">
        <v>27</v>
      </c>
      <c r="B24" s="315"/>
      <c r="C24" s="160">
        <v>1150</v>
      </c>
      <c r="D24" s="165">
        <f>SUM(D25:D30)</f>
        <v>1531.3</v>
      </c>
      <c r="E24" s="165">
        <f>SUM(E25:E30)</f>
        <v>0</v>
      </c>
      <c r="F24" s="165">
        <f>SUM(F25:F30)</f>
        <v>2541.3000000000002</v>
      </c>
      <c r="G24" s="166">
        <f t="shared" ref="G24:G30" si="4">F24-E24</f>
        <v>2541.3000000000002</v>
      </c>
      <c r="H24" s="187" t="e">
        <f t="shared" ref="H24:H30" si="5">(F24/E24)*100</f>
        <v>#DIV/0!</v>
      </c>
    </row>
    <row r="25" spans="1:14" ht="42" customHeight="1">
      <c r="A25" s="203">
        <v>1</v>
      </c>
      <c r="B25" s="180" t="s">
        <v>213</v>
      </c>
      <c r="C25" s="160"/>
      <c r="D25" s="170"/>
      <c r="E25" s="165"/>
      <c r="F25" s="170">
        <v>44.6</v>
      </c>
      <c r="G25" s="182">
        <f t="shared" si="4"/>
        <v>44.6</v>
      </c>
      <c r="H25" s="187" t="e">
        <f t="shared" si="5"/>
        <v>#DIV/0!</v>
      </c>
    </row>
    <row r="26" spans="1:14" ht="47.25" customHeight="1">
      <c r="A26" s="203">
        <v>2</v>
      </c>
      <c r="B26" s="180" t="s">
        <v>274</v>
      </c>
      <c r="C26" s="160"/>
      <c r="D26" s="170">
        <v>5.3</v>
      </c>
      <c r="E26" s="165"/>
      <c r="F26" s="170">
        <v>21.1</v>
      </c>
      <c r="G26" s="182">
        <f t="shared" si="4"/>
        <v>21.1</v>
      </c>
      <c r="H26" s="187" t="e">
        <f t="shared" si="5"/>
        <v>#DIV/0!</v>
      </c>
    </row>
    <row r="27" spans="1:14" ht="62.25" customHeight="1">
      <c r="A27" s="203">
        <v>3</v>
      </c>
      <c r="B27" s="180" t="s">
        <v>354</v>
      </c>
      <c r="C27" s="160"/>
      <c r="D27" s="170"/>
      <c r="E27" s="165"/>
      <c r="F27" s="170">
        <v>11.6</v>
      </c>
      <c r="G27" s="182">
        <f t="shared" si="4"/>
        <v>11.6</v>
      </c>
      <c r="H27" s="187" t="e">
        <f t="shared" si="5"/>
        <v>#DIV/0!</v>
      </c>
    </row>
    <row r="28" spans="1:14" ht="33.75" customHeight="1">
      <c r="A28" s="203">
        <v>4</v>
      </c>
      <c r="B28" s="180" t="s">
        <v>210</v>
      </c>
      <c r="C28" s="160"/>
      <c r="D28" s="170"/>
      <c r="E28" s="165"/>
      <c r="F28" s="170">
        <v>59.3</v>
      </c>
      <c r="G28" s="182">
        <f t="shared" si="4"/>
        <v>59.3</v>
      </c>
      <c r="H28" s="187" t="e">
        <f t="shared" si="5"/>
        <v>#DIV/0!</v>
      </c>
    </row>
    <row r="29" spans="1:14" ht="34.5" customHeight="1">
      <c r="A29" s="203">
        <v>5</v>
      </c>
      <c r="B29" s="180" t="s">
        <v>355</v>
      </c>
      <c r="C29" s="160"/>
      <c r="D29" s="170"/>
      <c r="E29" s="165"/>
      <c r="F29" s="170">
        <v>2.7</v>
      </c>
      <c r="G29" s="182">
        <f t="shared" si="4"/>
        <v>2.7</v>
      </c>
      <c r="H29" s="187" t="e">
        <f t="shared" si="5"/>
        <v>#DIV/0!</v>
      </c>
    </row>
    <row r="30" spans="1:14" ht="36" customHeight="1">
      <c r="A30" s="203">
        <v>6</v>
      </c>
      <c r="B30" s="180" t="s">
        <v>241</v>
      </c>
      <c r="C30" s="160"/>
      <c r="D30" s="170">
        <v>1526</v>
      </c>
      <c r="E30" s="165"/>
      <c r="F30" s="170">
        <v>2402</v>
      </c>
      <c r="G30" s="182">
        <f t="shared" si="4"/>
        <v>2402</v>
      </c>
      <c r="H30" s="185" t="e">
        <f t="shared" si="5"/>
        <v>#DIV/0!</v>
      </c>
    </row>
    <row r="31" spans="1:14" ht="35.25" customHeight="1">
      <c r="A31" s="312" t="s">
        <v>77</v>
      </c>
      <c r="B31" s="312"/>
      <c r="C31" s="160"/>
      <c r="D31" s="165"/>
      <c r="E31" s="165"/>
      <c r="F31" s="165"/>
      <c r="G31" s="166"/>
      <c r="H31" s="166"/>
    </row>
    <row r="32" spans="1:14" ht="48" customHeight="1">
      <c r="A32" s="313" t="s">
        <v>78</v>
      </c>
      <c r="B32" s="313"/>
      <c r="C32" s="155"/>
      <c r="D32" s="165"/>
      <c r="E32" s="165"/>
      <c r="F32" s="165"/>
      <c r="G32" s="166"/>
      <c r="H32" s="166"/>
    </row>
    <row r="33" spans="1:15" ht="34.5" customHeight="1">
      <c r="A33" s="314" t="s">
        <v>79</v>
      </c>
      <c r="B33" s="314"/>
      <c r="C33" s="160">
        <v>1011</v>
      </c>
      <c r="D33" s="165">
        <f>SUM(D34:D47)</f>
        <v>12265.400000000003</v>
      </c>
      <c r="E33" s="165">
        <f>SUM(E34:E47)</f>
        <v>9021.5000000000018</v>
      </c>
      <c r="F33" s="165">
        <f>SUM(F34:F47)</f>
        <v>10908.499999999996</v>
      </c>
      <c r="G33" s="166">
        <f t="shared" ref="G33:G47" si="6">F33-E33</f>
        <v>1886.9999999999945</v>
      </c>
      <c r="H33" s="166">
        <f t="shared" ref="H33:H47" si="7">(F33/E33)*100</f>
        <v>120.91669899684081</v>
      </c>
      <c r="O33" s="163"/>
    </row>
    <row r="34" spans="1:15" ht="41.25" customHeight="1">
      <c r="A34" s="160"/>
      <c r="B34" s="180" t="s">
        <v>189</v>
      </c>
      <c r="C34" s="160"/>
      <c r="D34" s="170">
        <v>2390.1999999999998</v>
      </c>
      <c r="E34" s="266">
        <v>3000</v>
      </c>
      <c r="F34" s="170">
        <v>3250</v>
      </c>
      <c r="G34" s="182">
        <f t="shared" si="6"/>
        <v>250</v>
      </c>
      <c r="H34" s="182">
        <f t="shared" si="7"/>
        <v>108.33333333333333</v>
      </c>
      <c r="J34" s="163"/>
      <c r="M34" s="163"/>
    </row>
    <row r="35" spans="1:15" ht="58.5" customHeight="1">
      <c r="A35" s="160"/>
      <c r="B35" s="180" t="s">
        <v>188</v>
      </c>
      <c r="C35" s="160"/>
      <c r="D35" s="170">
        <v>187.6</v>
      </c>
      <c r="E35" s="266"/>
      <c r="F35" s="170">
        <v>2</v>
      </c>
      <c r="G35" s="182">
        <f t="shared" si="6"/>
        <v>2</v>
      </c>
      <c r="H35" s="185" t="e">
        <f t="shared" si="7"/>
        <v>#DIV/0!</v>
      </c>
      <c r="J35" s="163"/>
    </row>
    <row r="36" spans="1:15" ht="27" customHeight="1">
      <c r="A36" s="160"/>
      <c r="B36" s="180" t="s">
        <v>191</v>
      </c>
      <c r="C36" s="160"/>
      <c r="D36" s="170">
        <v>1593</v>
      </c>
      <c r="E36" s="266"/>
      <c r="F36" s="170">
        <v>187.3</v>
      </c>
      <c r="G36" s="182">
        <f t="shared" si="6"/>
        <v>187.3</v>
      </c>
      <c r="H36" s="185" t="e">
        <f t="shared" si="7"/>
        <v>#DIV/0!</v>
      </c>
      <c r="J36" s="163"/>
    </row>
    <row r="37" spans="1:15" ht="26.25" customHeight="1">
      <c r="A37" s="160"/>
      <c r="B37" s="180" t="s">
        <v>192</v>
      </c>
      <c r="C37" s="160"/>
      <c r="D37" s="170">
        <v>162.30000000000001</v>
      </c>
      <c r="E37" s="266"/>
      <c r="F37" s="170">
        <v>4.5999999999999996</v>
      </c>
      <c r="G37" s="182">
        <f t="shared" si="6"/>
        <v>4.5999999999999996</v>
      </c>
      <c r="H37" s="185" t="e">
        <f t="shared" si="7"/>
        <v>#DIV/0!</v>
      </c>
      <c r="J37" s="163"/>
    </row>
    <row r="38" spans="1:15" ht="30" customHeight="1">
      <c r="A38" s="160"/>
      <c r="B38" s="212" t="s">
        <v>215</v>
      </c>
      <c r="C38" s="160"/>
      <c r="D38" s="170">
        <v>5346.1</v>
      </c>
      <c r="E38" s="261">
        <v>4852.2</v>
      </c>
      <c r="F38" s="170">
        <f>5226.9+672.9</f>
        <v>5899.7999999999993</v>
      </c>
      <c r="G38" s="182">
        <f t="shared" si="6"/>
        <v>1047.5999999999995</v>
      </c>
      <c r="H38" s="182">
        <f t="shared" si="7"/>
        <v>121.59020650426609</v>
      </c>
    </row>
    <row r="39" spans="1:15" ht="59.25" customHeight="1">
      <c r="A39" s="160"/>
      <c r="B39" s="212" t="s">
        <v>190</v>
      </c>
      <c r="C39" s="160"/>
      <c r="D39" s="170">
        <v>1665.7</v>
      </c>
      <c r="E39" s="261"/>
      <c r="F39" s="170">
        <v>477</v>
      </c>
      <c r="G39" s="182">
        <f t="shared" si="6"/>
        <v>477</v>
      </c>
      <c r="H39" s="185" t="e">
        <f t="shared" si="7"/>
        <v>#DIV/0!</v>
      </c>
    </row>
    <row r="40" spans="1:15" ht="27.75" customHeight="1">
      <c r="A40" s="160"/>
      <c r="B40" s="212" t="s">
        <v>356</v>
      </c>
      <c r="C40" s="160"/>
      <c r="D40" s="170"/>
      <c r="E40" s="261"/>
      <c r="F40" s="170">
        <v>146.30000000000001</v>
      </c>
      <c r="G40" s="182">
        <f t="shared" si="6"/>
        <v>146.30000000000001</v>
      </c>
      <c r="H40" s="185" t="e">
        <f t="shared" si="7"/>
        <v>#DIV/0!</v>
      </c>
    </row>
    <row r="41" spans="1:15" ht="31.5" customHeight="1">
      <c r="A41" s="160"/>
      <c r="B41" s="180" t="s">
        <v>140</v>
      </c>
      <c r="C41" s="160"/>
      <c r="D41" s="170">
        <v>374.7</v>
      </c>
      <c r="E41" s="261">
        <v>522</v>
      </c>
      <c r="F41" s="170">
        <v>441.4</v>
      </c>
      <c r="G41" s="182">
        <f t="shared" si="6"/>
        <v>-80.600000000000023</v>
      </c>
      <c r="H41" s="182">
        <f t="shared" si="7"/>
        <v>84.559386973180068</v>
      </c>
    </row>
    <row r="42" spans="1:15" ht="30" customHeight="1">
      <c r="A42" s="160"/>
      <c r="B42" s="212" t="s">
        <v>141</v>
      </c>
      <c r="C42" s="160"/>
      <c r="D42" s="170">
        <v>95.1</v>
      </c>
      <c r="E42" s="261">
        <v>163.6</v>
      </c>
      <c r="F42" s="170">
        <v>1.9</v>
      </c>
      <c r="G42" s="182">
        <f t="shared" si="6"/>
        <v>-161.69999999999999</v>
      </c>
      <c r="H42" s="182">
        <f t="shared" si="7"/>
        <v>1.1613691931540342</v>
      </c>
    </row>
    <row r="43" spans="1:15" ht="29.25" customHeight="1">
      <c r="A43" s="160"/>
      <c r="B43" s="212" t="s">
        <v>181</v>
      </c>
      <c r="C43" s="160"/>
      <c r="D43" s="170">
        <v>74.7</v>
      </c>
      <c r="E43" s="261">
        <v>91.7</v>
      </c>
      <c r="F43" s="170">
        <f>749.8-672.9</f>
        <v>76.899999999999977</v>
      </c>
      <c r="G43" s="182">
        <f t="shared" si="6"/>
        <v>-14.800000000000026</v>
      </c>
      <c r="H43" s="182">
        <f t="shared" si="7"/>
        <v>83.860414394765513</v>
      </c>
    </row>
    <row r="44" spans="1:15" ht="69.75" customHeight="1">
      <c r="A44" s="164"/>
      <c r="B44" s="180" t="s">
        <v>216</v>
      </c>
      <c r="C44" s="155"/>
      <c r="D44" s="170">
        <v>203.7</v>
      </c>
      <c r="E44" s="261">
        <v>321</v>
      </c>
      <c r="F44" s="170">
        <v>360.4</v>
      </c>
      <c r="G44" s="182">
        <f t="shared" si="6"/>
        <v>39.399999999999977</v>
      </c>
      <c r="H44" s="182">
        <f t="shared" si="7"/>
        <v>112.27414330218069</v>
      </c>
    </row>
    <row r="45" spans="1:15" ht="74.25" customHeight="1">
      <c r="A45" s="164"/>
      <c r="B45" s="180" t="s">
        <v>278</v>
      </c>
      <c r="C45" s="155"/>
      <c r="D45" s="170">
        <v>29.5</v>
      </c>
      <c r="E45" s="261"/>
      <c r="F45" s="170"/>
      <c r="G45" s="182">
        <f t="shared" si="6"/>
        <v>0</v>
      </c>
      <c r="H45" s="185" t="e">
        <f t="shared" si="7"/>
        <v>#DIV/0!</v>
      </c>
    </row>
    <row r="46" spans="1:15" ht="79.5" customHeight="1">
      <c r="A46" s="164"/>
      <c r="B46" s="180" t="s">
        <v>423</v>
      </c>
      <c r="C46" s="155"/>
      <c r="D46" s="170">
        <v>99.9</v>
      </c>
      <c r="E46" s="261"/>
      <c r="F46" s="170"/>
      <c r="G46" s="182">
        <f t="shared" si="6"/>
        <v>0</v>
      </c>
      <c r="H46" s="185" t="e">
        <f t="shared" si="7"/>
        <v>#DIV/0!</v>
      </c>
    </row>
    <row r="47" spans="1:15" ht="45" customHeight="1">
      <c r="A47" s="164"/>
      <c r="B47" s="180" t="s">
        <v>165</v>
      </c>
      <c r="C47" s="155"/>
      <c r="D47" s="170">
        <v>42.9</v>
      </c>
      <c r="E47" s="261">
        <v>71</v>
      </c>
      <c r="F47" s="170">
        <v>60.9</v>
      </c>
      <c r="G47" s="182">
        <f t="shared" si="6"/>
        <v>-10.100000000000001</v>
      </c>
      <c r="H47" s="182">
        <f t="shared" si="7"/>
        <v>85.774647887323937</v>
      </c>
    </row>
    <row r="48" spans="1:15" ht="35.25" customHeight="1">
      <c r="A48" s="314" t="s">
        <v>80</v>
      </c>
      <c r="B48" s="314"/>
      <c r="C48" s="160">
        <v>1015</v>
      </c>
      <c r="D48" s="165">
        <f>SUM(D49:D77)</f>
        <v>4734.6000000000004</v>
      </c>
      <c r="E48" s="165">
        <f>SUM(E49:E77)</f>
        <v>7843.9999999999991</v>
      </c>
      <c r="F48" s="165">
        <f>SUM(F49:F77)</f>
        <v>6592.5000000000009</v>
      </c>
      <c r="G48" s="166">
        <f>F48-E48</f>
        <v>-1251.4999999999982</v>
      </c>
      <c r="H48" s="166">
        <f>(F48/E48)*100</f>
        <v>84.04513003569609</v>
      </c>
      <c r="M48" s="163"/>
    </row>
    <row r="49" spans="1:14" ht="30" customHeight="1">
      <c r="A49" s="160"/>
      <c r="B49" s="191" t="s">
        <v>147</v>
      </c>
      <c r="C49" s="160"/>
      <c r="D49" s="170">
        <v>24.8</v>
      </c>
      <c r="E49" s="170">
        <v>36.9</v>
      </c>
      <c r="F49" s="170">
        <v>20.8</v>
      </c>
      <c r="G49" s="182">
        <f t="shared" ref="G49:G55" si="8">F49-E49</f>
        <v>-16.099999999999998</v>
      </c>
      <c r="H49" s="182">
        <f t="shared" ref="H49:H55" si="9">(F49/E49)*100</f>
        <v>56.368563685636865</v>
      </c>
      <c r="K49" s="163"/>
      <c r="N49" s="163"/>
    </row>
    <row r="50" spans="1:14" ht="27.75" customHeight="1">
      <c r="A50" s="160"/>
      <c r="B50" s="180" t="s">
        <v>148</v>
      </c>
      <c r="C50" s="160"/>
      <c r="D50" s="170">
        <v>164.1</v>
      </c>
      <c r="E50" s="170">
        <v>254</v>
      </c>
      <c r="F50" s="170">
        <v>113.9</v>
      </c>
      <c r="G50" s="182">
        <f t="shared" si="8"/>
        <v>-140.1</v>
      </c>
      <c r="H50" s="182">
        <f t="shared" si="9"/>
        <v>44.84251968503937</v>
      </c>
    </row>
    <row r="51" spans="1:14" ht="27.75" customHeight="1">
      <c r="A51" s="160"/>
      <c r="B51" s="180" t="s">
        <v>149</v>
      </c>
      <c r="C51" s="160"/>
      <c r="D51" s="170">
        <v>31.9</v>
      </c>
      <c r="E51" s="170">
        <v>112.2</v>
      </c>
      <c r="F51" s="170">
        <v>64.7</v>
      </c>
      <c r="G51" s="182">
        <f t="shared" si="8"/>
        <v>-47.5</v>
      </c>
      <c r="H51" s="182">
        <f t="shared" si="9"/>
        <v>57.66488413547237</v>
      </c>
    </row>
    <row r="52" spans="1:14" ht="27.75" customHeight="1">
      <c r="A52" s="160"/>
      <c r="B52" s="180" t="s">
        <v>150</v>
      </c>
      <c r="C52" s="160"/>
      <c r="D52" s="170">
        <v>24.4</v>
      </c>
      <c r="E52" s="170">
        <v>37</v>
      </c>
      <c r="F52" s="170">
        <v>34.299999999999997</v>
      </c>
      <c r="G52" s="182">
        <f t="shared" si="8"/>
        <v>-2.7000000000000028</v>
      </c>
      <c r="H52" s="182">
        <f t="shared" si="9"/>
        <v>92.702702702702695</v>
      </c>
    </row>
    <row r="53" spans="1:14" ht="30" customHeight="1">
      <c r="A53" s="160"/>
      <c r="B53" s="180" t="s">
        <v>151</v>
      </c>
      <c r="C53" s="160"/>
      <c r="D53" s="170">
        <f>198.1</f>
        <v>198.1</v>
      </c>
      <c r="E53" s="170">
        <v>373.5</v>
      </c>
      <c r="F53" s="170">
        <v>162</v>
      </c>
      <c r="G53" s="182">
        <f t="shared" si="8"/>
        <v>-211.5</v>
      </c>
      <c r="H53" s="182">
        <f t="shared" si="9"/>
        <v>43.373493975903614</v>
      </c>
    </row>
    <row r="54" spans="1:14" ht="39.75" customHeight="1">
      <c r="A54" s="160"/>
      <c r="B54" s="180" t="s">
        <v>183</v>
      </c>
      <c r="C54" s="160"/>
      <c r="D54" s="170">
        <v>56.8</v>
      </c>
      <c r="E54" s="170">
        <v>59</v>
      </c>
      <c r="F54" s="170">
        <v>96.4</v>
      </c>
      <c r="G54" s="182">
        <f t="shared" si="8"/>
        <v>37.400000000000006</v>
      </c>
      <c r="H54" s="182">
        <f t="shared" si="9"/>
        <v>163.38983050847457</v>
      </c>
    </row>
    <row r="55" spans="1:14" ht="35.25" customHeight="1">
      <c r="A55" s="160"/>
      <c r="B55" s="191" t="s">
        <v>152</v>
      </c>
      <c r="C55" s="160"/>
      <c r="D55" s="170">
        <v>286.8</v>
      </c>
      <c r="E55" s="170">
        <v>580.20000000000005</v>
      </c>
      <c r="F55" s="170">
        <v>112.3</v>
      </c>
      <c r="G55" s="182">
        <f t="shared" si="8"/>
        <v>-467.90000000000003</v>
      </c>
      <c r="H55" s="182">
        <f t="shared" si="9"/>
        <v>19.355394691485692</v>
      </c>
    </row>
    <row r="56" spans="1:14" ht="27" customHeight="1">
      <c r="A56" s="157"/>
      <c r="B56" s="191" t="s">
        <v>153</v>
      </c>
      <c r="C56" s="155"/>
      <c r="D56" s="170">
        <v>42.5</v>
      </c>
      <c r="E56" s="170">
        <v>82.7</v>
      </c>
      <c r="F56" s="170">
        <v>34.1</v>
      </c>
      <c r="G56" s="182">
        <f>F56-E56</f>
        <v>-48.6</v>
      </c>
      <c r="H56" s="182">
        <f>(F56/E56)*100</f>
        <v>41.233373639661423</v>
      </c>
    </row>
    <row r="57" spans="1:14" ht="27" customHeight="1">
      <c r="A57" s="157"/>
      <c r="B57" s="191" t="s">
        <v>532</v>
      </c>
      <c r="C57" s="155"/>
      <c r="D57" s="170"/>
      <c r="E57" s="170"/>
      <c r="F57" s="170">
        <v>4.2</v>
      </c>
      <c r="G57" s="182">
        <f t="shared" ref="G57:G78" si="10">F57-E57</f>
        <v>4.2</v>
      </c>
      <c r="H57" s="185" t="e">
        <f t="shared" ref="H57:H78" si="11">(F57/E57)*100</f>
        <v>#DIV/0!</v>
      </c>
    </row>
    <row r="58" spans="1:14" ht="27" customHeight="1">
      <c r="A58" s="157"/>
      <c r="B58" s="191" t="s">
        <v>166</v>
      </c>
      <c r="C58" s="155"/>
      <c r="D58" s="170">
        <v>2.5</v>
      </c>
      <c r="E58" s="170">
        <v>2.4</v>
      </c>
      <c r="F58" s="170">
        <v>2.4</v>
      </c>
      <c r="G58" s="182">
        <f t="shared" si="10"/>
        <v>0</v>
      </c>
      <c r="H58" s="182">
        <f t="shared" si="11"/>
        <v>100</v>
      </c>
    </row>
    <row r="59" spans="1:14" ht="28.5" customHeight="1">
      <c r="A59" s="157"/>
      <c r="B59" s="180" t="s">
        <v>217</v>
      </c>
      <c r="C59" s="155"/>
      <c r="D59" s="170">
        <v>59.1</v>
      </c>
      <c r="E59" s="170">
        <v>54</v>
      </c>
      <c r="F59" s="170">
        <v>51.5</v>
      </c>
      <c r="G59" s="182">
        <f t="shared" si="10"/>
        <v>-2.5</v>
      </c>
      <c r="H59" s="182">
        <f t="shared" si="11"/>
        <v>95.370370370370367</v>
      </c>
    </row>
    <row r="60" spans="1:14" ht="32.25" customHeight="1">
      <c r="A60" s="157"/>
      <c r="B60" s="180" t="s">
        <v>155</v>
      </c>
      <c r="C60" s="155"/>
      <c r="D60" s="170">
        <v>26</v>
      </c>
      <c r="E60" s="170">
        <v>27.6</v>
      </c>
      <c r="F60" s="170">
        <v>13.8</v>
      </c>
      <c r="G60" s="182">
        <f t="shared" si="10"/>
        <v>-13.8</v>
      </c>
      <c r="H60" s="182">
        <f t="shared" si="11"/>
        <v>50</v>
      </c>
    </row>
    <row r="61" spans="1:14" ht="35.25" customHeight="1">
      <c r="A61" s="157"/>
      <c r="B61" s="191" t="s">
        <v>168</v>
      </c>
      <c r="C61" s="155"/>
      <c r="D61" s="170">
        <v>10.9</v>
      </c>
      <c r="E61" s="170">
        <v>33</v>
      </c>
      <c r="F61" s="170">
        <v>0</v>
      </c>
      <c r="G61" s="182">
        <f t="shared" si="10"/>
        <v>-33</v>
      </c>
      <c r="H61" s="182">
        <f t="shared" si="11"/>
        <v>0</v>
      </c>
    </row>
    <row r="62" spans="1:14" ht="38.25" customHeight="1">
      <c r="A62" s="157"/>
      <c r="B62" s="191" t="s">
        <v>170</v>
      </c>
      <c r="C62" s="155"/>
      <c r="D62" s="170">
        <v>10.1</v>
      </c>
      <c r="E62" s="170"/>
      <c r="F62" s="170">
        <v>13.6</v>
      </c>
      <c r="G62" s="182">
        <f t="shared" si="10"/>
        <v>13.6</v>
      </c>
      <c r="H62" s="185" t="e">
        <f t="shared" si="11"/>
        <v>#DIV/0!</v>
      </c>
    </row>
    <row r="63" spans="1:14" ht="32.25" customHeight="1">
      <c r="A63" s="157"/>
      <c r="B63" s="224" t="s">
        <v>218</v>
      </c>
      <c r="C63" s="155"/>
      <c r="D63" s="170">
        <v>310.10000000000002</v>
      </c>
      <c r="E63" s="170">
        <v>108.5</v>
      </c>
      <c r="F63" s="170">
        <v>268.8</v>
      </c>
      <c r="G63" s="182">
        <f t="shared" si="10"/>
        <v>160.30000000000001</v>
      </c>
      <c r="H63" s="182">
        <f t="shared" si="11"/>
        <v>247.74193548387098</v>
      </c>
    </row>
    <row r="64" spans="1:14" ht="55.5" customHeight="1">
      <c r="A64" s="157"/>
      <c r="B64" s="180" t="s">
        <v>184</v>
      </c>
      <c r="C64" s="155"/>
      <c r="D64" s="170">
        <v>7</v>
      </c>
      <c r="E64" s="170">
        <v>6.6</v>
      </c>
      <c r="F64" s="170">
        <v>4.3</v>
      </c>
      <c r="G64" s="182">
        <f t="shared" si="10"/>
        <v>-2.2999999999999998</v>
      </c>
      <c r="H64" s="182">
        <f t="shared" si="11"/>
        <v>65.151515151515156</v>
      </c>
    </row>
    <row r="65" spans="1:11" ht="28.5" customHeight="1">
      <c r="A65" s="157"/>
      <c r="B65" s="180" t="s">
        <v>279</v>
      </c>
      <c r="C65" s="155"/>
      <c r="D65" s="170">
        <v>5.6</v>
      </c>
      <c r="E65" s="170">
        <v>5</v>
      </c>
      <c r="F65" s="170">
        <v>0</v>
      </c>
      <c r="G65" s="182">
        <f t="shared" si="10"/>
        <v>-5</v>
      </c>
      <c r="H65" s="182">
        <f t="shared" si="11"/>
        <v>0</v>
      </c>
    </row>
    <row r="66" spans="1:11" ht="27" customHeight="1">
      <c r="A66" s="157"/>
      <c r="B66" s="180" t="s">
        <v>260</v>
      </c>
      <c r="C66" s="155"/>
      <c r="D66" s="170">
        <v>2.6</v>
      </c>
      <c r="E66" s="170"/>
      <c r="F66" s="170">
        <v>0</v>
      </c>
      <c r="G66" s="182">
        <f t="shared" si="10"/>
        <v>0</v>
      </c>
      <c r="H66" s="185" t="e">
        <f t="shared" si="11"/>
        <v>#DIV/0!</v>
      </c>
    </row>
    <row r="67" spans="1:11" ht="31.5" customHeight="1">
      <c r="A67" s="157"/>
      <c r="B67" s="180" t="s">
        <v>261</v>
      </c>
      <c r="C67" s="155"/>
      <c r="D67" s="170">
        <v>13.8</v>
      </c>
      <c r="E67" s="170">
        <v>2.1</v>
      </c>
      <c r="F67" s="170">
        <v>1.2</v>
      </c>
      <c r="G67" s="182">
        <f t="shared" si="10"/>
        <v>-0.90000000000000013</v>
      </c>
      <c r="H67" s="182">
        <f t="shared" si="11"/>
        <v>57.142857142857139</v>
      </c>
    </row>
    <row r="68" spans="1:11" ht="30" customHeight="1">
      <c r="A68" s="157"/>
      <c r="B68" s="191" t="s">
        <v>173</v>
      </c>
      <c r="C68" s="155"/>
      <c r="D68" s="170">
        <v>0.3</v>
      </c>
      <c r="E68" s="170">
        <v>4.5</v>
      </c>
      <c r="F68" s="170">
        <v>0</v>
      </c>
      <c r="G68" s="182">
        <f t="shared" si="10"/>
        <v>-4.5</v>
      </c>
      <c r="H68" s="182">
        <f t="shared" si="11"/>
        <v>0</v>
      </c>
    </row>
    <row r="69" spans="1:11" ht="32.25" customHeight="1">
      <c r="A69" s="157"/>
      <c r="B69" s="191" t="s">
        <v>174</v>
      </c>
      <c r="C69" s="155"/>
      <c r="D69" s="170">
        <v>1773.1</v>
      </c>
      <c r="E69" s="170">
        <v>3398.2</v>
      </c>
      <c r="F69" s="170">
        <f>2899+41.5</f>
        <v>2940.5</v>
      </c>
      <c r="G69" s="182">
        <f t="shared" si="10"/>
        <v>-457.69999999999982</v>
      </c>
      <c r="H69" s="182">
        <f t="shared" si="11"/>
        <v>86.531104702489557</v>
      </c>
    </row>
    <row r="70" spans="1:11" ht="31.5" customHeight="1">
      <c r="A70" s="157"/>
      <c r="B70" s="220" t="s">
        <v>175</v>
      </c>
      <c r="C70" s="155"/>
      <c r="D70" s="170">
        <v>339.6</v>
      </c>
      <c r="E70" s="170">
        <v>374.4</v>
      </c>
      <c r="F70" s="170">
        <v>252.5</v>
      </c>
      <c r="G70" s="182">
        <f t="shared" si="10"/>
        <v>-121.89999999999998</v>
      </c>
      <c r="H70" s="182">
        <f t="shared" si="11"/>
        <v>67.441239316239319</v>
      </c>
    </row>
    <row r="71" spans="1:11" ht="35.25" customHeight="1">
      <c r="A71" s="157"/>
      <c r="B71" s="220" t="s">
        <v>176</v>
      </c>
      <c r="C71" s="155"/>
      <c r="D71" s="170">
        <v>1222.7</v>
      </c>
      <c r="E71" s="170">
        <v>2186</v>
      </c>
      <c r="F71" s="170">
        <v>2302.4</v>
      </c>
      <c r="G71" s="182">
        <f t="shared" si="10"/>
        <v>116.40000000000009</v>
      </c>
      <c r="H71" s="182">
        <f t="shared" si="11"/>
        <v>105.32479414455626</v>
      </c>
    </row>
    <row r="72" spans="1:11" ht="33" customHeight="1">
      <c r="A72" s="157"/>
      <c r="B72" s="220" t="s">
        <v>177</v>
      </c>
      <c r="C72" s="155"/>
      <c r="D72" s="170">
        <v>88.7</v>
      </c>
      <c r="E72" s="170">
        <v>97.2</v>
      </c>
      <c r="F72" s="170">
        <v>97.2</v>
      </c>
      <c r="G72" s="182">
        <f t="shared" si="10"/>
        <v>0</v>
      </c>
      <c r="H72" s="182">
        <f t="shared" si="11"/>
        <v>100</v>
      </c>
    </row>
    <row r="73" spans="1:11" ht="32.25" customHeight="1">
      <c r="A73" s="157"/>
      <c r="B73" s="220" t="s">
        <v>259</v>
      </c>
      <c r="C73" s="155"/>
      <c r="D73" s="170">
        <v>2.2999999999999998</v>
      </c>
      <c r="E73" s="170"/>
      <c r="F73" s="170">
        <v>0</v>
      </c>
      <c r="G73" s="182">
        <f t="shared" si="10"/>
        <v>0</v>
      </c>
      <c r="H73" s="185" t="e">
        <f t="shared" si="11"/>
        <v>#DIV/0!</v>
      </c>
    </row>
    <row r="74" spans="1:11" ht="31.5" customHeight="1">
      <c r="A74" s="157"/>
      <c r="B74" s="220" t="s">
        <v>271</v>
      </c>
      <c r="C74" s="155"/>
      <c r="D74" s="170">
        <v>3.3</v>
      </c>
      <c r="E74" s="170">
        <v>2</v>
      </c>
      <c r="F74" s="170">
        <v>1.6</v>
      </c>
      <c r="G74" s="182">
        <f t="shared" si="10"/>
        <v>-0.39999999999999991</v>
      </c>
      <c r="H74" s="182">
        <f t="shared" si="11"/>
        <v>80</v>
      </c>
    </row>
    <row r="75" spans="1:11" ht="35.25" customHeight="1">
      <c r="A75" s="157"/>
      <c r="B75" s="220" t="s">
        <v>280</v>
      </c>
      <c r="C75" s="155"/>
      <c r="D75" s="170">
        <v>4</v>
      </c>
      <c r="E75" s="170"/>
      <c r="F75" s="170">
        <v>0</v>
      </c>
      <c r="G75" s="182">
        <f t="shared" si="10"/>
        <v>0</v>
      </c>
      <c r="H75" s="185" t="e">
        <f t="shared" si="11"/>
        <v>#DIV/0!</v>
      </c>
    </row>
    <row r="76" spans="1:11" ht="30.75" customHeight="1">
      <c r="A76" s="157"/>
      <c r="B76" s="220" t="s">
        <v>281</v>
      </c>
      <c r="C76" s="155"/>
      <c r="D76" s="170">
        <v>16.7</v>
      </c>
      <c r="E76" s="170"/>
      <c r="F76" s="170">
        <v>0</v>
      </c>
      <c r="G76" s="182">
        <f t="shared" si="10"/>
        <v>0</v>
      </c>
      <c r="H76" s="185" t="e">
        <f t="shared" si="11"/>
        <v>#DIV/0!</v>
      </c>
    </row>
    <row r="77" spans="1:11" ht="28.5" customHeight="1">
      <c r="A77" s="157"/>
      <c r="B77" s="180" t="s">
        <v>178</v>
      </c>
      <c r="C77" s="155"/>
      <c r="D77" s="170">
        <v>6.8</v>
      </c>
      <c r="E77" s="170">
        <v>7</v>
      </c>
      <c r="F77" s="170">
        <v>0</v>
      </c>
      <c r="G77" s="182">
        <f t="shared" si="10"/>
        <v>-7</v>
      </c>
      <c r="H77" s="182">
        <f t="shared" si="11"/>
        <v>0</v>
      </c>
    </row>
    <row r="78" spans="1:11" s="149" customFormat="1" ht="39" customHeight="1">
      <c r="A78" s="313" t="s">
        <v>81</v>
      </c>
      <c r="B78" s="313"/>
      <c r="C78" s="279"/>
      <c r="D78" s="165">
        <f>D79+D83</f>
        <v>275.2</v>
      </c>
      <c r="E78" s="165">
        <f>E79+E83</f>
        <v>241.29999999999998</v>
      </c>
      <c r="F78" s="165">
        <f>F79+F83</f>
        <v>489.90000000000003</v>
      </c>
      <c r="G78" s="166">
        <f t="shared" si="10"/>
        <v>248.60000000000005</v>
      </c>
      <c r="H78" s="166">
        <f t="shared" si="11"/>
        <v>203.02527973477004</v>
      </c>
    </row>
    <row r="79" spans="1:11" s="149" customFormat="1" ht="32.25" customHeight="1">
      <c r="A79" s="314" t="s">
        <v>79</v>
      </c>
      <c r="B79" s="314"/>
      <c r="C79" s="160">
        <v>1021</v>
      </c>
      <c r="D79" s="165">
        <f>D80+D82+D81</f>
        <v>64.8</v>
      </c>
      <c r="E79" s="165">
        <f>E80</f>
        <v>39</v>
      </c>
      <c r="F79" s="165">
        <f>SUM(F80:F82)</f>
        <v>27.2</v>
      </c>
      <c r="G79" s="166">
        <f>F79-E79</f>
        <v>-11.8</v>
      </c>
      <c r="H79" s="166">
        <f>(F79/E79)*100</f>
        <v>69.743589743589737</v>
      </c>
    </row>
    <row r="80" spans="1:11" s="149" customFormat="1" ht="73.5" customHeight="1">
      <c r="A80" s="160"/>
      <c r="B80" s="180" t="s">
        <v>216</v>
      </c>
      <c r="C80" s="160"/>
      <c r="D80" s="170">
        <v>42.3</v>
      </c>
      <c r="E80" s="170">
        <v>39</v>
      </c>
      <c r="F80" s="170">
        <v>2.2000000000000002</v>
      </c>
      <c r="G80" s="182">
        <f t="shared" ref="G80:G82" si="12">F80-E80</f>
        <v>-36.799999999999997</v>
      </c>
      <c r="H80" s="182">
        <f t="shared" ref="H80:H82" si="13">(F80/E80)*100</f>
        <v>5.6410256410256414</v>
      </c>
      <c r="K80" s="178"/>
    </row>
    <row r="81" spans="1:13" s="149" customFormat="1" ht="78" customHeight="1">
      <c r="A81" s="160"/>
      <c r="B81" s="180" t="s">
        <v>278</v>
      </c>
      <c r="C81" s="160"/>
      <c r="D81" s="170">
        <v>8</v>
      </c>
      <c r="E81" s="170"/>
      <c r="F81" s="170"/>
      <c r="G81" s="182">
        <f t="shared" si="12"/>
        <v>0</v>
      </c>
      <c r="H81" s="185" t="e">
        <f t="shared" si="13"/>
        <v>#DIV/0!</v>
      </c>
      <c r="K81" s="178"/>
    </row>
    <row r="82" spans="1:13" s="149" customFormat="1" ht="42.75" customHeight="1">
      <c r="A82" s="160"/>
      <c r="B82" s="180" t="s">
        <v>165</v>
      </c>
      <c r="C82" s="160"/>
      <c r="D82" s="170">
        <v>14.5</v>
      </c>
      <c r="E82" s="170"/>
      <c r="F82" s="170">
        <v>25</v>
      </c>
      <c r="G82" s="182">
        <f t="shared" si="12"/>
        <v>25</v>
      </c>
      <c r="H82" s="185" t="e">
        <f t="shared" si="13"/>
        <v>#DIV/0!</v>
      </c>
    </row>
    <row r="83" spans="1:13" s="149" customFormat="1" ht="31.5" customHeight="1">
      <c r="A83" s="314" t="s">
        <v>82</v>
      </c>
      <c r="B83" s="314"/>
      <c r="C83" s="279">
        <v>1025</v>
      </c>
      <c r="D83" s="165">
        <f>SUM(D84:D106)</f>
        <v>210.4</v>
      </c>
      <c r="E83" s="165">
        <f>SUM(E85:E106)</f>
        <v>202.29999999999998</v>
      </c>
      <c r="F83" s="165">
        <f>SUM(F85:F106)</f>
        <v>462.70000000000005</v>
      </c>
      <c r="G83" s="166">
        <f>F83-E83</f>
        <v>260.40000000000009</v>
      </c>
      <c r="H83" s="166">
        <f>(F83/E83)*100</f>
        <v>228.71972318339107</v>
      </c>
    </row>
    <row r="84" spans="1:13" s="149" customFormat="1" ht="31.5" customHeight="1">
      <c r="A84" s="160"/>
      <c r="B84" s="230" t="s">
        <v>147</v>
      </c>
      <c r="C84" s="279"/>
      <c r="D84" s="170">
        <v>2.9</v>
      </c>
      <c r="E84" s="165"/>
      <c r="F84" s="165"/>
      <c r="G84" s="182">
        <f t="shared" ref="G84:G106" si="14">F84-E84</f>
        <v>0</v>
      </c>
      <c r="H84" s="185" t="e">
        <f t="shared" ref="H84:H106" si="15">(F84/E84)*100</f>
        <v>#DIV/0!</v>
      </c>
    </row>
    <row r="85" spans="1:13" s="149" customFormat="1" ht="31.5" customHeight="1">
      <c r="A85" s="160"/>
      <c r="B85" s="180" t="s">
        <v>155</v>
      </c>
      <c r="C85" s="279"/>
      <c r="D85" s="170">
        <v>8.5</v>
      </c>
      <c r="E85" s="170">
        <v>15.3</v>
      </c>
      <c r="F85" s="170">
        <v>26.8</v>
      </c>
      <c r="G85" s="182">
        <f t="shared" si="14"/>
        <v>11.5</v>
      </c>
      <c r="H85" s="182">
        <f t="shared" si="15"/>
        <v>175.16339869281046</v>
      </c>
      <c r="J85" s="178"/>
      <c r="K85" s="178"/>
    </row>
    <row r="86" spans="1:13" s="149" customFormat="1" ht="31.5" customHeight="1">
      <c r="A86" s="160"/>
      <c r="B86" s="180" t="s">
        <v>161</v>
      </c>
      <c r="C86" s="279"/>
      <c r="D86" s="170">
        <v>2.8</v>
      </c>
      <c r="E86" s="170">
        <v>2.7</v>
      </c>
      <c r="F86" s="170">
        <v>2.7</v>
      </c>
      <c r="G86" s="182">
        <f t="shared" si="14"/>
        <v>0</v>
      </c>
      <c r="H86" s="182">
        <f t="shared" si="15"/>
        <v>100</v>
      </c>
      <c r="M86" s="178"/>
    </row>
    <row r="87" spans="1:13" s="149" customFormat="1" ht="52.5" customHeight="1">
      <c r="A87" s="160"/>
      <c r="B87" s="180" t="s">
        <v>170</v>
      </c>
      <c r="C87" s="279"/>
      <c r="D87" s="170">
        <v>42.6</v>
      </c>
      <c r="E87" s="170">
        <v>36</v>
      </c>
      <c r="F87" s="170">
        <v>88.2</v>
      </c>
      <c r="G87" s="182">
        <f t="shared" si="14"/>
        <v>52.2</v>
      </c>
      <c r="H87" s="182">
        <f t="shared" si="15"/>
        <v>245.00000000000003</v>
      </c>
    </row>
    <row r="88" spans="1:13" s="149" customFormat="1" ht="52.5" customHeight="1">
      <c r="A88" s="160"/>
      <c r="B88" s="180" t="s">
        <v>183</v>
      </c>
      <c r="C88" s="279"/>
      <c r="D88" s="170">
        <v>3.1</v>
      </c>
      <c r="E88" s="170"/>
      <c r="F88" s="170"/>
      <c r="G88" s="182">
        <f t="shared" si="14"/>
        <v>0</v>
      </c>
      <c r="H88" s="185" t="e">
        <f t="shared" si="15"/>
        <v>#DIV/0!</v>
      </c>
    </row>
    <row r="89" spans="1:13" s="149" customFormat="1" ht="46.5" customHeight="1">
      <c r="A89" s="160"/>
      <c r="B89" s="212" t="s">
        <v>219</v>
      </c>
      <c r="C89" s="279"/>
      <c r="D89" s="170">
        <v>28.2</v>
      </c>
      <c r="E89" s="170">
        <v>21</v>
      </c>
      <c r="F89" s="170"/>
      <c r="G89" s="182">
        <f t="shared" si="14"/>
        <v>-21</v>
      </c>
      <c r="H89" s="182">
        <f t="shared" si="15"/>
        <v>0</v>
      </c>
    </row>
    <row r="90" spans="1:13" s="149" customFormat="1" ht="31.5" customHeight="1">
      <c r="A90" s="160"/>
      <c r="B90" s="212" t="s">
        <v>153</v>
      </c>
      <c r="C90" s="279"/>
      <c r="D90" s="170">
        <v>6.5</v>
      </c>
      <c r="E90" s="170"/>
      <c r="F90" s="170"/>
      <c r="G90" s="182">
        <f t="shared" si="14"/>
        <v>0</v>
      </c>
      <c r="H90" s="185" t="e">
        <f t="shared" si="15"/>
        <v>#DIV/0!</v>
      </c>
    </row>
    <row r="91" spans="1:13" s="149" customFormat="1" ht="26.25" customHeight="1">
      <c r="A91" s="160"/>
      <c r="B91" s="212" t="s">
        <v>283</v>
      </c>
      <c r="C91" s="279"/>
      <c r="D91" s="170">
        <v>4.0999999999999996</v>
      </c>
      <c r="E91" s="170"/>
      <c r="F91" s="170"/>
      <c r="G91" s="182">
        <f t="shared" si="14"/>
        <v>0</v>
      </c>
      <c r="H91" s="185" t="e">
        <f t="shared" si="15"/>
        <v>#DIV/0!</v>
      </c>
    </row>
    <row r="92" spans="1:13" s="149" customFormat="1" ht="34.5" customHeight="1">
      <c r="A92" s="160"/>
      <c r="B92" s="212" t="s">
        <v>218</v>
      </c>
      <c r="C92" s="279"/>
      <c r="D92" s="170">
        <v>58.9</v>
      </c>
      <c r="E92" s="170"/>
      <c r="F92" s="170">
        <v>85.4</v>
      </c>
      <c r="G92" s="182">
        <f t="shared" si="14"/>
        <v>85.4</v>
      </c>
      <c r="H92" s="185" t="e">
        <f t="shared" si="15"/>
        <v>#DIV/0!</v>
      </c>
    </row>
    <row r="93" spans="1:13" s="149" customFormat="1" ht="32.25" customHeight="1">
      <c r="A93" s="160"/>
      <c r="B93" s="180" t="s">
        <v>203</v>
      </c>
      <c r="C93" s="279"/>
      <c r="D93" s="170">
        <v>4.8</v>
      </c>
      <c r="E93" s="170">
        <v>1.9</v>
      </c>
      <c r="F93" s="170">
        <v>4.8</v>
      </c>
      <c r="G93" s="182">
        <f t="shared" si="14"/>
        <v>2.9</v>
      </c>
      <c r="H93" s="182">
        <f t="shared" si="15"/>
        <v>252.63157894736841</v>
      </c>
    </row>
    <row r="94" spans="1:13" s="149" customFormat="1" ht="27" customHeight="1">
      <c r="A94" s="160"/>
      <c r="B94" s="180" t="s">
        <v>174</v>
      </c>
      <c r="C94" s="279"/>
      <c r="D94" s="170">
        <v>2.5</v>
      </c>
      <c r="E94" s="170">
        <v>59</v>
      </c>
      <c r="F94" s="170">
        <v>33.6</v>
      </c>
      <c r="G94" s="182">
        <f t="shared" si="14"/>
        <v>-25.4</v>
      </c>
      <c r="H94" s="182">
        <f t="shared" si="15"/>
        <v>56.949152542372886</v>
      </c>
    </row>
    <row r="95" spans="1:13" s="149" customFormat="1" ht="34.5" customHeight="1">
      <c r="A95" s="160"/>
      <c r="B95" s="180" t="s">
        <v>175</v>
      </c>
      <c r="C95" s="279"/>
      <c r="D95" s="170">
        <v>1.5</v>
      </c>
      <c r="E95" s="170">
        <v>7.5</v>
      </c>
      <c r="F95" s="170">
        <v>4.7</v>
      </c>
      <c r="G95" s="182">
        <f t="shared" si="14"/>
        <v>-2.8</v>
      </c>
      <c r="H95" s="182">
        <f t="shared" si="15"/>
        <v>62.666666666666671</v>
      </c>
    </row>
    <row r="96" spans="1:13" s="149" customFormat="1" ht="32.25" customHeight="1">
      <c r="A96" s="160"/>
      <c r="B96" s="180" t="s">
        <v>176</v>
      </c>
      <c r="C96" s="279"/>
      <c r="D96" s="170">
        <v>9.6999999999999993</v>
      </c>
      <c r="E96" s="170">
        <v>31.7</v>
      </c>
      <c r="F96" s="170">
        <v>44.6</v>
      </c>
      <c r="G96" s="182">
        <f t="shared" si="14"/>
        <v>12.900000000000002</v>
      </c>
      <c r="H96" s="182">
        <f t="shared" si="15"/>
        <v>140.69400630914828</v>
      </c>
    </row>
    <row r="97" spans="1:12" s="149" customFormat="1" ht="31.5" customHeight="1">
      <c r="A97" s="160"/>
      <c r="B97" s="180" t="s">
        <v>177</v>
      </c>
      <c r="C97" s="279"/>
      <c r="D97" s="170">
        <v>0.5</v>
      </c>
      <c r="E97" s="170">
        <v>2.2000000000000002</v>
      </c>
      <c r="F97" s="170">
        <v>1.7</v>
      </c>
      <c r="G97" s="182">
        <f t="shared" si="14"/>
        <v>-0.50000000000000022</v>
      </c>
      <c r="H97" s="182">
        <f t="shared" si="15"/>
        <v>77.272727272727266</v>
      </c>
    </row>
    <row r="98" spans="1:12" s="149" customFormat="1" ht="31.5" customHeight="1">
      <c r="A98" s="160"/>
      <c r="B98" s="180" t="s">
        <v>173</v>
      </c>
      <c r="C98" s="279"/>
      <c r="D98" s="170">
        <v>3.4</v>
      </c>
      <c r="E98" s="170"/>
      <c r="F98" s="170">
        <v>3.6</v>
      </c>
      <c r="G98" s="182">
        <f t="shared" si="14"/>
        <v>3.6</v>
      </c>
      <c r="H98" s="185" t="e">
        <f t="shared" si="15"/>
        <v>#DIV/0!</v>
      </c>
    </row>
    <row r="99" spans="1:12" s="149" customFormat="1" ht="31.5" customHeight="1">
      <c r="A99" s="160"/>
      <c r="B99" s="180" t="s">
        <v>178</v>
      </c>
      <c r="C99" s="279"/>
      <c r="D99" s="170"/>
      <c r="E99" s="170"/>
      <c r="F99" s="170">
        <v>5.0999999999999996</v>
      </c>
      <c r="G99" s="182">
        <f t="shared" si="14"/>
        <v>5.0999999999999996</v>
      </c>
      <c r="H99" s="185" t="e">
        <f t="shared" si="15"/>
        <v>#DIV/0!</v>
      </c>
    </row>
    <row r="100" spans="1:12" s="149" customFormat="1" ht="31.5" customHeight="1">
      <c r="A100" s="160"/>
      <c r="B100" s="180" t="s">
        <v>537</v>
      </c>
      <c r="C100" s="279"/>
      <c r="D100" s="170"/>
      <c r="E100" s="170"/>
      <c r="F100" s="170">
        <v>29</v>
      </c>
      <c r="G100" s="182">
        <f t="shared" si="14"/>
        <v>29</v>
      </c>
      <c r="H100" s="185" t="e">
        <f t="shared" si="15"/>
        <v>#DIV/0!</v>
      </c>
    </row>
    <row r="101" spans="1:12" s="149" customFormat="1" ht="50.25" customHeight="1">
      <c r="A101" s="160"/>
      <c r="B101" s="180" t="s">
        <v>536</v>
      </c>
      <c r="C101" s="279"/>
      <c r="D101" s="170">
        <v>1.4</v>
      </c>
      <c r="E101" s="170"/>
      <c r="F101" s="170">
        <v>51.5</v>
      </c>
      <c r="G101" s="182">
        <f t="shared" si="14"/>
        <v>51.5</v>
      </c>
      <c r="H101" s="185" t="e">
        <f t="shared" si="15"/>
        <v>#DIV/0!</v>
      </c>
    </row>
    <row r="102" spans="1:12" s="149" customFormat="1" ht="45" customHeight="1">
      <c r="A102" s="160"/>
      <c r="B102" s="180" t="s">
        <v>528</v>
      </c>
      <c r="C102" s="279"/>
      <c r="D102" s="170">
        <v>23.9</v>
      </c>
      <c r="E102" s="170">
        <v>25</v>
      </c>
      <c r="F102" s="170"/>
      <c r="G102" s="182">
        <f t="shared" si="14"/>
        <v>-25</v>
      </c>
      <c r="H102" s="182">
        <f t="shared" si="15"/>
        <v>0</v>
      </c>
    </row>
    <row r="103" spans="1:12" s="149" customFormat="1" ht="31.5" customHeight="1">
      <c r="A103" s="160"/>
      <c r="B103" s="180" t="s">
        <v>271</v>
      </c>
      <c r="C103" s="279"/>
      <c r="D103" s="170">
        <v>0.8</v>
      </c>
      <c r="E103" s="170"/>
      <c r="F103" s="170"/>
      <c r="G103" s="182">
        <f t="shared" si="14"/>
        <v>0</v>
      </c>
      <c r="H103" s="185" t="e">
        <f t="shared" si="15"/>
        <v>#DIV/0!</v>
      </c>
    </row>
    <row r="104" spans="1:12" s="149" customFormat="1" ht="30" customHeight="1">
      <c r="A104" s="160"/>
      <c r="B104" s="180" t="s">
        <v>282</v>
      </c>
      <c r="C104" s="279"/>
      <c r="D104" s="170">
        <v>0.7</v>
      </c>
      <c r="E104" s="170"/>
      <c r="F104" s="170"/>
      <c r="G104" s="182">
        <f t="shared" si="14"/>
        <v>0</v>
      </c>
      <c r="H104" s="185" t="e">
        <f t="shared" si="15"/>
        <v>#DIV/0!</v>
      </c>
    </row>
    <row r="105" spans="1:12" s="149" customFormat="1" ht="31.5" customHeight="1">
      <c r="A105" s="160"/>
      <c r="B105" s="180" t="s">
        <v>260</v>
      </c>
      <c r="C105" s="279"/>
      <c r="D105" s="170">
        <v>3.6</v>
      </c>
      <c r="E105" s="170"/>
      <c r="F105" s="170">
        <v>1.5</v>
      </c>
      <c r="G105" s="182">
        <f t="shared" si="14"/>
        <v>1.5</v>
      </c>
      <c r="H105" s="185" t="e">
        <f t="shared" si="15"/>
        <v>#DIV/0!</v>
      </c>
    </row>
    <row r="106" spans="1:12" s="149" customFormat="1" ht="31.5" customHeight="1">
      <c r="A106" s="160"/>
      <c r="B106" s="180" t="s">
        <v>270</v>
      </c>
      <c r="C106" s="279"/>
      <c r="D106" s="170"/>
      <c r="E106" s="170"/>
      <c r="F106" s="170">
        <v>79.5</v>
      </c>
      <c r="G106" s="182">
        <f t="shared" si="14"/>
        <v>79.5</v>
      </c>
      <c r="H106" s="185" t="e">
        <f t="shared" si="15"/>
        <v>#DIV/0!</v>
      </c>
    </row>
    <row r="107" spans="1:12" s="149" customFormat="1" ht="37.5" customHeight="1">
      <c r="A107" s="313" t="s">
        <v>120</v>
      </c>
      <c r="B107" s="313"/>
      <c r="C107" s="279"/>
      <c r="D107" s="170"/>
      <c r="E107" s="165"/>
      <c r="F107" s="170"/>
      <c r="G107" s="166"/>
      <c r="H107" s="166"/>
      <c r="L107" s="178"/>
    </row>
    <row r="108" spans="1:12" s="149" customFormat="1" ht="37.5" customHeight="1">
      <c r="A108" s="313" t="s">
        <v>92</v>
      </c>
      <c r="B108" s="313"/>
      <c r="C108" s="279">
        <v>1035</v>
      </c>
      <c r="D108" s="165">
        <f>SUM(D109:D121)</f>
        <v>133.19999999999999</v>
      </c>
      <c r="E108" s="165">
        <f>SUM(E109:E121)</f>
        <v>279.7</v>
      </c>
      <c r="F108" s="165">
        <f>SUM(F109:F121)</f>
        <v>102.5</v>
      </c>
      <c r="G108" s="166">
        <f>F108-E108</f>
        <v>-177.2</v>
      </c>
      <c r="H108" s="166">
        <f>(F108/E108)*100</f>
        <v>36.646406864497678</v>
      </c>
    </row>
    <row r="109" spans="1:12" s="149" customFormat="1" ht="34.5" customHeight="1">
      <c r="A109" s="228"/>
      <c r="B109" s="180" t="s">
        <v>174</v>
      </c>
      <c r="C109" s="279"/>
      <c r="D109" s="170">
        <v>7.7</v>
      </c>
      <c r="E109" s="170">
        <v>43</v>
      </c>
      <c r="F109" s="170">
        <v>7.5</v>
      </c>
      <c r="G109" s="182">
        <f t="shared" ref="G109:G121" si="16">F109-E109</f>
        <v>-35.5</v>
      </c>
      <c r="H109" s="182">
        <f t="shared" ref="H109:H121" si="17">(F109/E109)*100</f>
        <v>17.441860465116278</v>
      </c>
    </row>
    <row r="110" spans="1:12" s="149" customFormat="1" ht="32.25" customHeight="1">
      <c r="A110" s="228"/>
      <c r="B110" s="180" t="s">
        <v>175</v>
      </c>
      <c r="C110" s="279"/>
      <c r="D110" s="170">
        <v>1.8</v>
      </c>
      <c r="E110" s="170">
        <v>3</v>
      </c>
      <c r="F110" s="170">
        <v>3.6</v>
      </c>
      <c r="G110" s="182">
        <f t="shared" si="16"/>
        <v>0.60000000000000009</v>
      </c>
      <c r="H110" s="182">
        <f t="shared" si="17"/>
        <v>120</v>
      </c>
      <c r="K110" s="178"/>
    </row>
    <row r="111" spans="1:12" s="149" customFormat="1" ht="32.25" customHeight="1">
      <c r="A111" s="228"/>
      <c r="B111" s="180" t="s">
        <v>176</v>
      </c>
      <c r="C111" s="279"/>
      <c r="D111" s="170">
        <v>16.2</v>
      </c>
      <c r="E111" s="170">
        <v>79.900000000000006</v>
      </c>
      <c r="F111" s="170">
        <v>55.1</v>
      </c>
      <c r="G111" s="182">
        <f t="shared" si="16"/>
        <v>-24.800000000000004</v>
      </c>
      <c r="H111" s="182">
        <f t="shared" si="17"/>
        <v>68.961201501877341</v>
      </c>
    </row>
    <row r="112" spans="1:12" s="149" customFormat="1" ht="32.25" customHeight="1">
      <c r="A112" s="228"/>
      <c r="B112" s="180" t="s">
        <v>172</v>
      </c>
      <c r="C112" s="279"/>
      <c r="D112" s="170">
        <v>7.7</v>
      </c>
      <c r="E112" s="170">
        <v>13</v>
      </c>
      <c r="F112" s="170">
        <v>19.3</v>
      </c>
      <c r="G112" s="182">
        <f t="shared" si="16"/>
        <v>6.3000000000000007</v>
      </c>
      <c r="H112" s="182">
        <f t="shared" si="17"/>
        <v>148.46153846153845</v>
      </c>
    </row>
    <row r="113" spans="1:9" s="149" customFormat="1" ht="37.5" customHeight="1">
      <c r="A113" s="228"/>
      <c r="B113" s="180" t="s">
        <v>284</v>
      </c>
      <c r="C113" s="279"/>
      <c r="D113" s="170">
        <v>3.3</v>
      </c>
      <c r="E113" s="170"/>
      <c r="F113" s="170"/>
      <c r="G113" s="182">
        <f t="shared" si="16"/>
        <v>0</v>
      </c>
      <c r="H113" s="185" t="e">
        <f t="shared" si="17"/>
        <v>#DIV/0!</v>
      </c>
    </row>
    <row r="114" spans="1:9" s="149" customFormat="1" ht="32.25" customHeight="1">
      <c r="A114" s="228"/>
      <c r="B114" s="180" t="s">
        <v>247</v>
      </c>
      <c r="C114" s="279"/>
      <c r="D114" s="170">
        <v>10.3</v>
      </c>
      <c r="E114" s="170"/>
      <c r="F114" s="170">
        <v>16.600000000000001</v>
      </c>
      <c r="G114" s="182">
        <f t="shared" si="16"/>
        <v>16.600000000000001</v>
      </c>
      <c r="H114" s="185" t="e">
        <f t="shared" si="17"/>
        <v>#DIV/0!</v>
      </c>
    </row>
    <row r="115" spans="1:9" s="149" customFormat="1" ht="30.75" customHeight="1">
      <c r="A115" s="228"/>
      <c r="B115" s="180" t="s">
        <v>220</v>
      </c>
      <c r="C115" s="279"/>
      <c r="D115" s="170"/>
      <c r="E115" s="170">
        <v>67</v>
      </c>
      <c r="F115" s="170"/>
      <c r="G115" s="182">
        <f t="shared" si="16"/>
        <v>-67</v>
      </c>
      <c r="H115" s="182">
        <f t="shared" si="17"/>
        <v>0</v>
      </c>
    </row>
    <row r="116" spans="1:9" s="149" customFormat="1" ht="32.25" customHeight="1">
      <c r="A116" s="228"/>
      <c r="B116" s="180" t="s">
        <v>286</v>
      </c>
      <c r="C116" s="279"/>
      <c r="D116" s="170">
        <v>0.3</v>
      </c>
      <c r="E116" s="170"/>
      <c r="F116" s="170">
        <v>0.4</v>
      </c>
      <c r="G116" s="182">
        <f t="shared" si="16"/>
        <v>0.4</v>
      </c>
      <c r="H116" s="185" t="e">
        <f t="shared" si="17"/>
        <v>#DIV/0!</v>
      </c>
    </row>
    <row r="117" spans="1:9" s="149" customFormat="1" ht="37.5" customHeight="1">
      <c r="A117" s="228"/>
      <c r="B117" s="180" t="s">
        <v>287</v>
      </c>
      <c r="C117" s="279"/>
      <c r="D117" s="170">
        <v>1.2</v>
      </c>
      <c r="E117" s="170"/>
      <c r="F117" s="170"/>
      <c r="G117" s="182">
        <f t="shared" si="16"/>
        <v>0</v>
      </c>
      <c r="H117" s="185" t="e">
        <f t="shared" si="17"/>
        <v>#DIV/0!</v>
      </c>
    </row>
    <row r="118" spans="1:9" s="149" customFormat="1" ht="32.25" customHeight="1">
      <c r="A118" s="228"/>
      <c r="B118" s="180" t="s">
        <v>285</v>
      </c>
      <c r="C118" s="279"/>
      <c r="D118" s="170">
        <v>1.6</v>
      </c>
      <c r="E118" s="170"/>
      <c r="F118" s="170"/>
      <c r="G118" s="182">
        <f t="shared" si="16"/>
        <v>0</v>
      </c>
      <c r="H118" s="185" t="e">
        <f t="shared" si="17"/>
        <v>#DIV/0!</v>
      </c>
    </row>
    <row r="119" spans="1:9" s="149" customFormat="1" ht="32.25" customHeight="1">
      <c r="A119" s="228"/>
      <c r="B119" s="180" t="s">
        <v>267</v>
      </c>
      <c r="C119" s="279"/>
      <c r="D119" s="170">
        <v>0.3</v>
      </c>
      <c r="E119" s="170"/>
      <c r="F119" s="170"/>
      <c r="G119" s="182">
        <f t="shared" si="16"/>
        <v>0</v>
      </c>
      <c r="H119" s="185" t="e">
        <f t="shared" si="17"/>
        <v>#DIV/0!</v>
      </c>
    </row>
    <row r="120" spans="1:9" s="149" customFormat="1" ht="30" customHeight="1">
      <c r="A120" s="228"/>
      <c r="B120" s="180" t="s">
        <v>272</v>
      </c>
      <c r="C120" s="279"/>
      <c r="D120" s="170">
        <v>8.1999999999999993</v>
      </c>
      <c r="E120" s="170"/>
      <c r="F120" s="170"/>
      <c r="G120" s="182">
        <f t="shared" si="16"/>
        <v>0</v>
      </c>
      <c r="H120" s="185" t="e">
        <f t="shared" si="17"/>
        <v>#DIV/0!</v>
      </c>
    </row>
    <row r="121" spans="1:9" s="149" customFormat="1" ht="30" customHeight="1">
      <c r="A121" s="228"/>
      <c r="B121" s="180" t="s">
        <v>221</v>
      </c>
      <c r="C121" s="279"/>
      <c r="D121" s="170">
        <v>74.599999999999994</v>
      </c>
      <c r="E121" s="170">
        <v>73.8</v>
      </c>
      <c r="F121" s="165"/>
      <c r="G121" s="182">
        <f t="shared" si="16"/>
        <v>-73.8</v>
      </c>
      <c r="H121" s="182">
        <f t="shared" si="17"/>
        <v>0</v>
      </c>
    </row>
    <row r="122" spans="1:9">
      <c r="B122" s="269"/>
      <c r="D122" s="273"/>
      <c r="E122" s="274"/>
      <c r="F122" s="274"/>
    </row>
    <row r="123" spans="1:9" ht="24.75" customHeight="1">
      <c r="B123" s="271" t="s">
        <v>542</v>
      </c>
      <c r="C123" s="270"/>
      <c r="D123" s="310"/>
      <c r="E123" s="310"/>
      <c r="F123" s="316" t="s">
        <v>204</v>
      </c>
      <c r="G123" s="316"/>
      <c r="H123" s="316"/>
      <c r="I123" s="280"/>
    </row>
    <row r="124" spans="1:9">
      <c r="B124" s="150" t="s">
        <v>59</v>
      </c>
      <c r="C124" s="148"/>
      <c r="D124" s="311" t="s">
        <v>65</v>
      </c>
      <c r="E124" s="311"/>
      <c r="F124" s="317" t="s">
        <v>17</v>
      </c>
      <c r="G124" s="317"/>
      <c r="H124" s="317"/>
    </row>
    <row r="125" spans="1:9">
      <c r="B125" s="269"/>
      <c r="D125" s="273"/>
      <c r="E125" s="274"/>
      <c r="F125" s="274"/>
    </row>
    <row r="126" spans="1:9">
      <c r="B126" s="269"/>
      <c r="D126" s="273"/>
      <c r="E126" s="274"/>
      <c r="F126" s="274"/>
    </row>
    <row r="127" spans="1:9">
      <c r="B127" s="269"/>
      <c r="D127" s="273"/>
      <c r="E127" s="274"/>
      <c r="F127" s="274"/>
    </row>
    <row r="128" spans="1:9">
      <c r="B128" s="269"/>
      <c r="D128" s="273"/>
      <c r="E128" s="274"/>
      <c r="F128" s="274"/>
    </row>
    <row r="129" spans="2:6">
      <c r="B129" s="269"/>
      <c r="D129" s="273"/>
      <c r="E129" s="274"/>
      <c r="F129" s="274"/>
    </row>
    <row r="130" spans="2:6">
      <c r="B130" s="269"/>
      <c r="D130" s="273"/>
      <c r="E130" s="274"/>
      <c r="F130" s="274"/>
    </row>
    <row r="131" spans="2:6">
      <c r="B131" s="269"/>
      <c r="D131" s="273"/>
      <c r="E131" s="274"/>
      <c r="F131" s="274"/>
    </row>
    <row r="132" spans="2:6">
      <c r="B132" s="269"/>
      <c r="D132" s="273"/>
      <c r="E132" s="274"/>
      <c r="F132" s="274"/>
    </row>
    <row r="133" spans="2:6">
      <c r="B133" s="269"/>
      <c r="D133" s="273"/>
      <c r="E133" s="274"/>
      <c r="F133" s="274"/>
    </row>
    <row r="134" spans="2:6">
      <c r="B134" s="269"/>
      <c r="D134" s="273"/>
      <c r="E134" s="274"/>
      <c r="F134" s="274"/>
    </row>
    <row r="135" spans="2:6">
      <c r="B135" s="269"/>
      <c r="D135" s="273"/>
      <c r="E135" s="274"/>
      <c r="F135" s="274"/>
    </row>
    <row r="136" spans="2:6">
      <c r="B136" s="269"/>
      <c r="D136" s="273"/>
      <c r="E136" s="274"/>
      <c r="F136" s="274"/>
    </row>
    <row r="137" spans="2:6">
      <c r="B137" s="269"/>
      <c r="D137" s="273"/>
      <c r="E137" s="274"/>
      <c r="F137" s="274"/>
    </row>
    <row r="138" spans="2:6">
      <c r="B138" s="269"/>
      <c r="D138" s="273"/>
      <c r="E138" s="274"/>
      <c r="F138" s="274"/>
    </row>
    <row r="139" spans="2:6">
      <c r="B139" s="269"/>
      <c r="D139" s="273"/>
      <c r="E139" s="274"/>
      <c r="F139" s="274"/>
    </row>
    <row r="140" spans="2:6">
      <c r="B140" s="269"/>
      <c r="D140" s="273"/>
      <c r="E140" s="274"/>
      <c r="F140" s="274"/>
    </row>
    <row r="141" spans="2:6">
      <c r="B141" s="269"/>
      <c r="D141" s="273"/>
      <c r="E141" s="274"/>
      <c r="F141" s="274"/>
    </row>
    <row r="142" spans="2:6">
      <c r="B142" s="269"/>
      <c r="D142" s="273"/>
      <c r="E142" s="274"/>
      <c r="F142" s="274"/>
    </row>
    <row r="143" spans="2:6">
      <c r="B143" s="269"/>
      <c r="D143" s="273"/>
      <c r="E143" s="274"/>
      <c r="F143" s="274"/>
    </row>
    <row r="144" spans="2:6">
      <c r="B144" s="269"/>
      <c r="D144" s="273"/>
      <c r="E144" s="274"/>
      <c r="F144" s="274"/>
    </row>
    <row r="145" spans="2:6">
      <c r="B145" s="269"/>
      <c r="D145" s="273"/>
      <c r="E145" s="274"/>
      <c r="F145" s="274"/>
    </row>
    <row r="146" spans="2:6">
      <c r="B146" s="269"/>
      <c r="D146" s="273"/>
      <c r="E146" s="274"/>
      <c r="F146" s="274"/>
    </row>
    <row r="147" spans="2:6">
      <c r="B147" s="269"/>
      <c r="D147" s="273"/>
      <c r="E147" s="274"/>
      <c r="F147" s="274"/>
    </row>
    <row r="148" spans="2:6">
      <c r="B148" s="269"/>
      <c r="D148" s="273"/>
      <c r="E148" s="274"/>
      <c r="F148" s="274"/>
    </row>
    <row r="149" spans="2:6">
      <c r="B149" s="269"/>
      <c r="D149" s="273"/>
      <c r="E149" s="274"/>
      <c r="F149" s="274"/>
    </row>
    <row r="150" spans="2:6">
      <c r="B150" s="269"/>
      <c r="D150" s="273"/>
      <c r="E150" s="274"/>
      <c r="F150" s="274"/>
    </row>
    <row r="151" spans="2:6">
      <c r="B151" s="269"/>
      <c r="D151" s="273"/>
      <c r="E151" s="274"/>
      <c r="F151" s="274"/>
    </row>
    <row r="152" spans="2:6">
      <c r="B152" s="269"/>
      <c r="D152" s="273"/>
      <c r="E152" s="274"/>
      <c r="F152" s="274"/>
    </row>
    <row r="153" spans="2:6">
      <c r="B153" s="269"/>
      <c r="D153" s="273"/>
      <c r="E153" s="274"/>
      <c r="F153" s="274"/>
    </row>
    <row r="154" spans="2:6">
      <c r="B154" s="269"/>
      <c r="D154" s="273"/>
      <c r="E154" s="274"/>
      <c r="F154" s="274"/>
    </row>
    <row r="155" spans="2:6">
      <c r="B155" s="269"/>
      <c r="D155" s="273"/>
      <c r="E155" s="274"/>
      <c r="F155" s="274"/>
    </row>
    <row r="156" spans="2:6">
      <c r="B156" s="269"/>
      <c r="D156" s="273"/>
      <c r="E156" s="274"/>
      <c r="F156" s="274"/>
    </row>
    <row r="157" spans="2:6">
      <c r="B157" s="269"/>
      <c r="D157" s="273"/>
      <c r="E157" s="274"/>
      <c r="F157" s="274"/>
    </row>
    <row r="158" spans="2:6">
      <c r="B158" s="269"/>
      <c r="D158" s="273"/>
      <c r="E158" s="274"/>
      <c r="F158" s="274"/>
    </row>
    <row r="159" spans="2:6">
      <c r="B159" s="269"/>
      <c r="D159" s="273"/>
      <c r="E159" s="274"/>
      <c r="F159" s="274"/>
    </row>
    <row r="160" spans="2:6">
      <c r="B160" s="269"/>
      <c r="D160" s="273"/>
      <c r="E160" s="274"/>
      <c r="F160" s="274"/>
    </row>
    <row r="161" spans="2:6">
      <c r="B161" s="269"/>
      <c r="D161" s="273"/>
      <c r="E161" s="274"/>
      <c r="F161" s="274"/>
    </row>
    <row r="162" spans="2:6">
      <c r="B162" s="269"/>
      <c r="D162" s="273"/>
      <c r="E162" s="274"/>
      <c r="F162" s="274"/>
    </row>
    <row r="163" spans="2:6">
      <c r="B163" s="269"/>
      <c r="D163" s="273"/>
      <c r="E163" s="274"/>
      <c r="F163" s="274"/>
    </row>
    <row r="164" spans="2:6">
      <c r="B164" s="269"/>
      <c r="D164" s="273"/>
      <c r="E164" s="274"/>
      <c r="F164" s="274"/>
    </row>
    <row r="165" spans="2:6">
      <c r="B165" s="269"/>
      <c r="D165" s="273"/>
      <c r="E165" s="274"/>
      <c r="F165" s="274"/>
    </row>
    <row r="166" spans="2:6">
      <c r="B166" s="269"/>
      <c r="D166" s="273"/>
      <c r="E166" s="274"/>
      <c r="F166" s="274"/>
    </row>
    <row r="167" spans="2:6">
      <c r="B167" s="269"/>
      <c r="D167" s="273"/>
      <c r="E167" s="274"/>
      <c r="F167" s="274"/>
    </row>
    <row r="168" spans="2:6">
      <c r="B168" s="269"/>
      <c r="D168" s="273"/>
      <c r="E168" s="274"/>
      <c r="F168" s="274"/>
    </row>
    <row r="169" spans="2:6">
      <c r="B169" s="269"/>
      <c r="D169" s="273"/>
      <c r="E169" s="274"/>
      <c r="F169" s="274"/>
    </row>
    <row r="170" spans="2:6">
      <c r="B170" s="269"/>
      <c r="D170" s="273"/>
      <c r="E170" s="274"/>
      <c r="F170" s="274"/>
    </row>
    <row r="171" spans="2:6">
      <c r="B171" s="269"/>
      <c r="D171" s="273"/>
      <c r="E171" s="274"/>
      <c r="F171" s="274"/>
    </row>
    <row r="172" spans="2:6">
      <c r="B172" s="269"/>
      <c r="D172" s="273"/>
      <c r="E172" s="274"/>
      <c r="F172" s="274"/>
    </row>
    <row r="173" spans="2:6">
      <c r="B173" s="269"/>
      <c r="D173" s="273"/>
      <c r="E173" s="274"/>
      <c r="F173" s="274"/>
    </row>
    <row r="174" spans="2:6">
      <c r="B174" s="269"/>
      <c r="D174" s="273"/>
      <c r="E174" s="274"/>
      <c r="F174" s="274"/>
    </row>
    <row r="175" spans="2:6">
      <c r="B175" s="269"/>
      <c r="D175" s="273"/>
      <c r="E175" s="274"/>
      <c r="F175" s="274"/>
    </row>
    <row r="176" spans="2:6">
      <c r="B176" s="269"/>
      <c r="D176" s="273"/>
      <c r="E176" s="274"/>
      <c r="F176" s="274"/>
    </row>
    <row r="177" spans="2:6">
      <c r="B177" s="269"/>
      <c r="D177" s="273"/>
      <c r="E177" s="274"/>
      <c r="F177" s="274"/>
    </row>
    <row r="178" spans="2:6">
      <c r="B178" s="269"/>
      <c r="D178" s="273"/>
      <c r="E178" s="274"/>
      <c r="F178" s="274"/>
    </row>
    <row r="179" spans="2:6">
      <c r="B179" s="269"/>
    </row>
    <row r="180" spans="2:6">
      <c r="B180" s="275"/>
    </row>
    <row r="181" spans="2:6">
      <c r="B181" s="275"/>
    </row>
    <row r="182" spans="2:6">
      <c r="B182" s="275"/>
    </row>
    <row r="183" spans="2:6">
      <c r="B183" s="275"/>
    </row>
    <row r="184" spans="2:6">
      <c r="B184" s="275"/>
    </row>
    <row r="185" spans="2:6">
      <c r="B185" s="275"/>
    </row>
    <row r="186" spans="2:6">
      <c r="B186" s="275"/>
    </row>
    <row r="187" spans="2:6">
      <c r="B187" s="275"/>
    </row>
    <row r="188" spans="2:6">
      <c r="B188" s="275"/>
    </row>
    <row r="189" spans="2:6">
      <c r="B189" s="275"/>
    </row>
    <row r="190" spans="2:6">
      <c r="B190" s="275"/>
    </row>
    <row r="191" spans="2:6">
      <c r="B191" s="275"/>
    </row>
    <row r="192" spans="2:6">
      <c r="B192" s="275"/>
    </row>
    <row r="193" spans="2:2">
      <c r="B193" s="275"/>
    </row>
    <row r="194" spans="2:2">
      <c r="B194" s="275"/>
    </row>
    <row r="195" spans="2:2">
      <c r="B195" s="275"/>
    </row>
    <row r="196" spans="2:2">
      <c r="B196" s="275"/>
    </row>
    <row r="197" spans="2:2">
      <c r="B197" s="275"/>
    </row>
    <row r="198" spans="2:2">
      <c r="B198" s="275"/>
    </row>
    <row r="199" spans="2:2">
      <c r="B199" s="275"/>
    </row>
    <row r="200" spans="2:2">
      <c r="B200" s="275"/>
    </row>
    <row r="201" spans="2:2">
      <c r="B201" s="275"/>
    </row>
    <row r="202" spans="2:2">
      <c r="B202" s="275"/>
    </row>
    <row r="203" spans="2:2">
      <c r="B203" s="275"/>
    </row>
    <row r="204" spans="2:2">
      <c r="B204" s="275"/>
    </row>
    <row r="205" spans="2:2">
      <c r="B205" s="275"/>
    </row>
    <row r="206" spans="2:2">
      <c r="B206" s="275"/>
    </row>
    <row r="207" spans="2:2">
      <c r="B207" s="275"/>
    </row>
    <row r="208" spans="2:2">
      <c r="B208" s="275"/>
    </row>
    <row r="209" spans="2:2">
      <c r="B209" s="275"/>
    </row>
    <row r="210" spans="2:2">
      <c r="B210" s="275"/>
    </row>
    <row r="211" spans="2:2">
      <c r="B211" s="275"/>
    </row>
    <row r="212" spans="2:2">
      <c r="B212" s="275"/>
    </row>
    <row r="213" spans="2:2">
      <c r="B213" s="275"/>
    </row>
    <row r="214" spans="2:2">
      <c r="B214" s="275"/>
    </row>
    <row r="215" spans="2:2">
      <c r="B215" s="275"/>
    </row>
    <row r="216" spans="2:2">
      <c r="B216" s="275"/>
    </row>
    <row r="217" spans="2:2">
      <c r="B217" s="275"/>
    </row>
    <row r="218" spans="2:2">
      <c r="B218" s="275"/>
    </row>
    <row r="219" spans="2:2">
      <c r="B219" s="275"/>
    </row>
    <row r="220" spans="2:2">
      <c r="B220" s="275"/>
    </row>
    <row r="221" spans="2:2">
      <c r="B221" s="275"/>
    </row>
    <row r="222" spans="2:2">
      <c r="B222" s="275"/>
    </row>
    <row r="223" spans="2:2">
      <c r="B223" s="275"/>
    </row>
    <row r="224" spans="2:2">
      <c r="B224" s="275"/>
    </row>
    <row r="225" spans="2:2">
      <c r="B225" s="275"/>
    </row>
    <row r="226" spans="2:2">
      <c r="B226" s="275"/>
    </row>
    <row r="227" spans="2:2">
      <c r="B227" s="275"/>
    </row>
    <row r="228" spans="2:2">
      <c r="B228" s="275"/>
    </row>
    <row r="229" spans="2:2">
      <c r="B229" s="275"/>
    </row>
    <row r="230" spans="2:2">
      <c r="B230" s="275"/>
    </row>
    <row r="231" spans="2:2">
      <c r="B231" s="275"/>
    </row>
    <row r="232" spans="2:2">
      <c r="B232" s="275"/>
    </row>
    <row r="233" spans="2:2">
      <c r="B233" s="275"/>
    </row>
    <row r="234" spans="2:2">
      <c r="B234" s="275"/>
    </row>
    <row r="235" spans="2:2">
      <c r="B235" s="275"/>
    </row>
    <row r="236" spans="2:2">
      <c r="B236" s="275"/>
    </row>
    <row r="237" spans="2:2">
      <c r="B237" s="275"/>
    </row>
    <row r="238" spans="2:2">
      <c r="B238" s="275"/>
    </row>
    <row r="239" spans="2:2">
      <c r="B239" s="275"/>
    </row>
    <row r="240" spans="2:2">
      <c r="B240" s="275"/>
    </row>
    <row r="241" spans="2:2">
      <c r="B241" s="275"/>
    </row>
    <row r="242" spans="2:2">
      <c r="B242" s="275"/>
    </row>
    <row r="243" spans="2:2">
      <c r="B243" s="275"/>
    </row>
    <row r="244" spans="2:2">
      <c r="B244" s="275"/>
    </row>
    <row r="245" spans="2:2">
      <c r="B245" s="275"/>
    </row>
    <row r="246" spans="2:2">
      <c r="B246" s="275"/>
    </row>
    <row r="247" spans="2:2">
      <c r="B247" s="275"/>
    </row>
    <row r="248" spans="2:2">
      <c r="B248" s="275"/>
    </row>
    <row r="249" spans="2:2">
      <c r="B249" s="275"/>
    </row>
    <row r="250" spans="2:2">
      <c r="B250" s="275"/>
    </row>
    <row r="251" spans="2:2">
      <c r="B251" s="275"/>
    </row>
    <row r="252" spans="2:2">
      <c r="B252" s="275"/>
    </row>
    <row r="253" spans="2:2">
      <c r="B253" s="275"/>
    </row>
    <row r="254" spans="2:2">
      <c r="B254" s="275"/>
    </row>
    <row r="255" spans="2:2">
      <c r="B255" s="275"/>
    </row>
    <row r="256" spans="2:2">
      <c r="B256" s="275"/>
    </row>
    <row r="257" spans="2:2">
      <c r="B257" s="275"/>
    </row>
    <row r="258" spans="2:2">
      <c r="B258" s="275"/>
    </row>
    <row r="259" spans="2:2">
      <c r="B259" s="275"/>
    </row>
    <row r="260" spans="2:2">
      <c r="B260" s="275"/>
    </row>
    <row r="261" spans="2:2">
      <c r="B261" s="275"/>
    </row>
    <row r="262" spans="2:2">
      <c r="B262" s="275"/>
    </row>
    <row r="263" spans="2:2">
      <c r="B263" s="275"/>
    </row>
    <row r="264" spans="2:2">
      <c r="B264" s="275"/>
    </row>
    <row r="265" spans="2:2">
      <c r="B265" s="275"/>
    </row>
    <row r="266" spans="2:2">
      <c r="B266" s="275"/>
    </row>
    <row r="267" spans="2:2">
      <c r="B267" s="275"/>
    </row>
    <row r="268" spans="2:2">
      <c r="B268" s="275"/>
    </row>
    <row r="269" spans="2:2">
      <c r="B269" s="275"/>
    </row>
    <row r="270" spans="2:2">
      <c r="B270" s="275"/>
    </row>
    <row r="271" spans="2:2">
      <c r="B271" s="275"/>
    </row>
    <row r="272" spans="2:2">
      <c r="B272" s="275"/>
    </row>
    <row r="273" spans="2:2">
      <c r="B273" s="275"/>
    </row>
    <row r="274" spans="2:2">
      <c r="B274" s="275"/>
    </row>
    <row r="275" spans="2:2">
      <c r="B275" s="275"/>
    </row>
    <row r="276" spans="2:2">
      <c r="B276" s="275"/>
    </row>
    <row r="277" spans="2:2">
      <c r="B277" s="275"/>
    </row>
    <row r="278" spans="2:2">
      <c r="B278" s="275"/>
    </row>
    <row r="279" spans="2:2">
      <c r="B279" s="275"/>
    </row>
    <row r="280" spans="2:2">
      <c r="B280" s="275"/>
    </row>
    <row r="281" spans="2:2">
      <c r="B281" s="275"/>
    </row>
    <row r="282" spans="2:2">
      <c r="B282" s="275"/>
    </row>
    <row r="283" spans="2:2">
      <c r="B283" s="275"/>
    </row>
    <row r="284" spans="2:2">
      <c r="B284" s="275"/>
    </row>
    <row r="285" spans="2:2">
      <c r="B285" s="275"/>
    </row>
    <row r="286" spans="2:2">
      <c r="B286" s="275"/>
    </row>
    <row r="287" spans="2:2">
      <c r="B287" s="275"/>
    </row>
    <row r="288" spans="2:2">
      <c r="B288" s="275"/>
    </row>
    <row r="289" spans="2:2">
      <c r="B289" s="275"/>
    </row>
    <row r="290" spans="2:2">
      <c r="B290" s="275"/>
    </row>
    <row r="291" spans="2:2">
      <c r="B291" s="275"/>
    </row>
    <row r="292" spans="2:2">
      <c r="B292" s="275"/>
    </row>
    <row r="293" spans="2:2">
      <c r="B293" s="275"/>
    </row>
    <row r="294" spans="2:2">
      <c r="B294" s="275"/>
    </row>
    <row r="295" spans="2:2">
      <c r="B295" s="275"/>
    </row>
    <row r="296" spans="2:2">
      <c r="B296" s="275"/>
    </row>
    <row r="297" spans="2:2">
      <c r="B297" s="275"/>
    </row>
    <row r="298" spans="2:2">
      <c r="B298" s="275"/>
    </row>
    <row r="299" spans="2:2">
      <c r="B299" s="275"/>
    </row>
    <row r="300" spans="2:2">
      <c r="B300" s="275"/>
    </row>
    <row r="301" spans="2:2">
      <c r="B301" s="275"/>
    </row>
    <row r="302" spans="2:2">
      <c r="B302" s="275"/>
    </row>
    <row r="303" spans="2:2">
      <c r="B303" s="275"/>
    </row>
    <row r="304" spans="2:2">
      <c r="B304" s="275"/>
    </row>
    <row r="305" spans="2:2">
      <c r="B305" s="275"/>
    </row>
    <row r="306" spans="2:2">
      <c r="B306" s="275"/>
    </row>
    <row r="307" spans="2:2">
      <c r="B307" s="275"/>
    </row>
    <row r="308" spans="2:2">
      <c r="B308" s="275"/>
    </row>
    <row r="309" spans="2:2">
      <c r="B309" s="275"/>
    </row>
    <row r="310" spans="2:2">
      <c r="B310" s="275"/>
    </row>
    <row r="311" spans="2:2">
      <c r="B311" s="275"/>
    </row>
    <row r="312" spans="2:2">
      <c r="B312" s="275"/>
    </row>
    <row r="313" spans="2:2">
      <c r="B313" s="275"/>
    </row>
    <row r="314" spans="2:2">
      <c r="B314" s="275"/>
    </row>
    <row r="315" spans="2:2">
      <c r="B315" s="275"/>
    </row>
    <row r="316" spans="2:2">
      <c r="B316" s="275"/>
    </row>
    <row r="317" spans="2:2">
      <c r="B317" s="275"/>
    </row>
    <row r="318" spans="2:2">
      <c r="B318" s="275"/>
    </row>
    <row r="319" spans="2:2">
      <c r="B319" s="275"/>
    </row>
    <row r="320" spans="2:2">
      <c r="B320" s="275"/>
    </row>
    <row r="321" spans="2:2">
      <c r="B321" s="275"/>
    </row>
    <row r="322" spans="2:2">
      <c r="B322" s="275"/>
    </row>
    <row r="323" spans="2:2">
      <c r="B323" s="275"/>
    </row>
    <row r="324" spans="2:2">
      <c r="B324" s="275"/>
    </row>
    <row r="325" spans="2:2">
      <c r="B325" s="275"/>
    </row>
    <row r="326" spans="2:2">
      <c r="B326" s="275"/>
    </row>
    <row r="327" spans="2:2">
      <c r="B327" s="275"/>
    </row>
    <row r="328" spans="2:2">
      <c r="B328" s="275"/>
    </row>
    <row r="329" spans="2:2">
      <c r="B329" s="275"/>
    </row>
    <row r="330" spans="2:2">
      <c r="B330" s="275"/>
    </row>
    <row r="331" spans="2:2">
      <c r="B331" s="275"/>
    </row>
    <row r="332" spans="2:2">
      <c r="B332" s="275"/>
    </row>
    <row r="333" spans="2:2">
      <c r="B333" s="275"/>
    </row>
    <row r="334" spans="2:2">
      <c r="B334" s="275"/>
    </row>
    <row r="335" spans="2:2">
      <c r="B335" s="275"/>
    </row>
    <row r="336" spans="2:2">
      <c r="B336" s="275"/>
    </row>
    <row r="337" spans="2:2">
      <c r="B337" s="275"/>
    </row>
    <row r="338" spans="2:2">
      <c r="B338" s="275"/>
    </row>
    <row r="339" spans="2:2">
      <c r="B339" s="275"/>
    </row>
    <row r="340" spans="2:2">
      <c r="B340" s="275"/>
    </row>
    <row r="341" spans="2:2">
      <c r="B341" s="275"/>
    </row>
    <row r="342" spans="2:2">
      <c r="B342" s="275"/>
    </row>
    <row r="343" spans="2:2">
      <c r="B343" s="275"/>
    </row>
    <row r="344" spans="2:2">
      <c r="B344" s="275"/>
    </row>
    <row r="345" spans="2:2">
      <c r="B345" s="275"/>
    </row>
    <row r="346" spans="2:2">
      <c r="B346" s="275"/>
    </row>
  </sheetData>
  <mergeCells count="19">
    <mergeCell ref="A107:B107"/>
    <mergeCell ref="F123:H123"/>
    <mergeCell ref="F124:H124"/>
    <mergeCell ref="B2:F2"/>
    <mergeCell ref="D123:E123"/>
    <mergeCell ref="D124:E124"/>
    <mergeCell ref="A31:B31"/>
    <mergeCell ref="A32:B32"/>
    <mergeCell ref="A33:B33"/>
    <mergeCell ref="A48:B48"/>
    <mergeCell ref="A78:B78"/>
    <mergeCell ref="A79:B79"/>
    <mergeCell ref="A83:B83"/>
    <mergeCell ref="A6:B6"/>
    <mergeCell ref="A7:B7"/>
    <mergeCell ref="A12:B12"/>
    <mergeCell ref="A24:B24"/>
    <mergeCell ref="A22:B22"/>
    <mergeCell ref="A108:B108"/>
  </mergeCells>
  <pageMargins left="0.39370078740157483" right="0.39370078740157483" top="0.78740157480314965" bottom="0.39370078740157483" header="0.31496062992125984" footer="0.31496062992125984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Y566"/>
  <sheetViews>
    <sheetView tabSelected="1" view="pageBreakPreview" zoomScale="55" zoomScaleNormal="70" zoomScaleSheetLayoutView="55" workbookViewId="0">
      <selection activeCell="Q17" sqref="Q17"/>
    </sheetView>
  </sheetViews>
  <sheetFormatPr defaultRowHeight="18.75"/>
  <cols>
    <col min="1" max="1" width="9.140625" style="148"/>
    <col min="2" max="2" width="106.140625" style="148" customWidth="1"/>
    <col min="3" max="3" width="14.140625" style="150" customWidth="1"/>
    <col min="4" max="4" width="16.140625" style="150" customWidth="1"/>
    <col min="5" max="5" width="16.7109375" style="150" customWidth="1"/>
    <col min="6" max="6" width="16.140625" style="150" customWidth="1"/>
    <col min="7" max="7" width="16.140625" style="148" customWidth="1"/>
    <col min="8" max="8" width="16.42578125" style="148" customWidth="1"/>
    <col min="9" max="9" width="10.85546875" style="148" bestFit="1" customWidth="1"/>
    <col min="10" max="10" width="13.7109375" style="148" bestFit="1" customWidth="1"/>
    <col min="11" max="11" width="12.42578125" style="149" customWidth="1"/>
    <col min="12" max="12" width="15.5703125" style="148" customWidth="1"/>
    <col min="13" max="13" width="16.5703125" style="148" customWidth="1"/>
    <col min="14" max="14" width="14.85546875" style="148" customWidth="1"/>
    <col min="15" max="15" width="16.28515625" style="150" customWidth="1"/>
    <col min="16" max="16" width="15.85546875" style="150" bestFit="1" customWidth="1"/>
    <col min="17" max="17" width="19.140625" style="150" customWidth="1"/>
    <col min="18" max="18" width="11.5703125" style="148" bestFit="1" customWidth="1"/>
    <col min="19" max="19" width="15.140625" style="148" bestFit="1" customWidth="1"/>
    <col min="20" max="21" width="9.140625" style="148"/>
    <col min="22" max="22" width="10.28515625" style="148" bestFit="1" customWidth="1"/>
    <col min="23" max="23" width="13.85546875" style="148" bestFit="1" customWidth="1"/>
    <col min="24" max="24" width="17" style="148" customWidth="1"/>
    <col min="25" max="25" width="13.7109375" style="148" bestFit="1" customWidth="1"/>
    <col min="26" max="16384" width="9.140625" style="148"/>
  </cols>
  <sheetData>
    <row r="2" spans="1:25" ht="22.5" customHeight="1">
      <c r="B2" s="319" t="s">
        <v>118</v>
      </c>
      <c r="C2" s="319"/>
      <c r="D2" s="319"/>
      <c r="E2" s="319"/>
      <c r="F2" s="319"/>
      <c r="G2" s="319"/>
      <c r="H2" s="319"/>
    </row>
    <row r="3" spans="1:25">
      <c r="B3" s="151"/>
      <c r="C3" s="152"/>
      <c r="D3" s="151"/>
      <c r="E3" s="151"/>
      <c r="F3" s="151"/>
      <c r="H3" s="148" t="s">
        <v>64</v>
      </c>
    </row>
    <row r="4" spans="1:25" ht="81.75" customHeight="1">
      <c r="A4" s="153" t="s">
        <v>75</v>
      </c>
      <c r="B4" s="153" t="s">
        <v>23</v>
      </c>
      <c r="C4" s="154" t="s">
        <v>5</v>
      </c>
      <c r="D4" s="155" t="s">
        <v>410</v>
      </c>
      <c r="E4" s="154" t="s">
        <v>411</v>
      </c>
      <c r="F4" s="154" t="s">
        <v>412</v>
      </c>
      <c r="G4" s="155" t="s">
        <v>109</v>
      </c>
      <c r="H4" s="155" t="s">
        <v>112</v>
      </c>
      <c r="M4" s="150">
        <v>65906.100000000006</v>
      </c>
      <c r="O4" s="156"/>
      <c r="P4" s="156"/>
      <c r="Q4" s="156"/>
      <c r="W4" s="148">
        <v>82183.5</v>
      </c>
      <c r="X4" s="148" t="s">
        <v>531</v>
      </c>
    </row>
    <row r="5" spans="1:25" ht="24.75" customHeight="1">
      <c r="A5" s="157">
        <v>1</v>
      </c>
      <c r="B5" s="158">
        <v>2</v>
      </c>
      <c r="C5" s="155">
        <v>3</v>
      </c>
      <c r="D5" s="155">
        <v>4</v>
      </c>
      <c r="E5" s="155">
        <v>5</v>
      </c>
      <c r="F5" s="155">
        <v>6</v>
      </c>
      <c r="G5" s="158">
        <v>7</v>
      </c>
      <c r="H5" s="158">
        <v>8</v>
      </c>
      <c r="O5" s="159"/>
      <c r="P5" s="159"/>
      <c r="Q5" s="159"/>
    </row>
    <row r="6" spans="1:25" ht="30.75" customHeight="1">
      <c r="A6" s="320" t="s">
        <v>83</v>
      </c>
      <c r="B6" s="321"/>
      <c r="C6" s="160"/>
      <c r="D6" s="161">
        <f>SUM(D7,D43,D48,D60,D119,D143,D172,D183,D188,D213,D222,D227,D232,D239,D246,D254,D259,D285,D324,D329,D334)</f>
        <v>69925.10000000002</v>
      </c>
      <c r="E6" s="161">
        <f>SUM(E7,E43,E48,E60,E119,E143,E172,E183,E188,E213,E222,E227,E232,E239,E246,E254,E259,E285,E324,E329,E334)</f>
        <v>65906.099999999977</v>
      </c>
      <c r="F6" s="161">
        <f>SUM(F7,F43,F48,F60,F119,F143,F172,F183,F188,F213,F222,F227,F232,F239,F246,F254,F259,F285,F324,F329,F334)</f>
        <v>82183.5</v>
      </c>
      <c r="G6" s="158">
        <f>F6-E6</f>
        <v>16277.400000000023</v>
      </c>
      <c r="H6" s="158">
        <f>(F6/E6)*100</f>
        <v>124.69786559969415</v>
      </c>
      <c r="N6" s="149"/>
      <c r="O6" s="162"/>
      <c r="P6" s="162"/>
      <c r="Q6" s="162"/>
      <c r="V6" s="163">
        <f>Q6-S6</f>
        <v>0</v>
      </c>
    </row>
    <row r="7" spans="1:25" ht="46.5" customHeight="1">
      <c r="A7" s="160" t="s">
        <v>84</v>
      </c>
      <c r="B7" s="164" t="s">
        <v>119</v>
      </c>
      <c r="C7" s="160"/>
      <c r="D7" s="165">
        <f>D9+D30+D38</f>
        <v>53162.3</v>
      </c>
      <c r="E7" s="165">
        <f>E9+E30+E38</f>
        <v>54756.6</v>
      </c>
      <c r="F7" s="165">
        <f>F9+F30+F38</f>
        <v>62452.399999999994</v>
      </c>
      <c r="G7" s="166">
        <f>F7-E7</f>
        <v>7695.7999999999956</v>
      </c>
      <c r="H7" s="166">
        <f>(F7/E7)*100</f>
        <v>114.05456145925787</v>
      </c>
      <c r="N7" s="149"/>
      <c r="O7" s="167"/>
      <c r="P7" s="167"/>
      <c r="Q7" s="167"/>
      <c r="R7" s="168"/>
    </row>
    <row r="8" spans="1:25" ht="24.75" customHeight="1">
      <c r="A8" s="158"/>
      <c r="B8" s="169" t="s">
        <v>85</v>
      </c>
      <c r="C8" s="155"/>
      <c r="D8" s="170"/>
      <c r="E8" s="170"/>
      <c r="F8" s="170"/>
      <c r="G8" s="166"/>
      <c r="H8" s="166"/>
      <c r="N8" s="149"/>
      <c r="O8" s="167"/>
      <c r="P8" s="167"/>
      <c r="Q8" s="167"/>
      <c r="Y8" s="163"/>
    </row>
    <row r="9" spans="1:25" ht="30" customHeight="1">
      <c r="A9" s="171" t="s">
        <v>86</v>
      </c>
      <c r="B9" s="172" t="s">
        <v>89</v>
      </c>
      <c r="C9" s="173">
        <v>1010</v>
      </c>
      <c r="D9" s="174">
        <f>D10+D16+D17+D19+D18</f>
        <v>49159.5</v>
      </c>
      <c r="E9" s="174">
        <f>E10+E16+E17+E19+E18</f>
        <v>51439.6</v>
      </c>
      <c r="F9" s="174">
        <f>F10+F16+F17+F19+F18</f>
        <v>57690.7</v>
      </c>
      <c r="G9" s="166">
        <f>F9-E9</f>
        <v>6251.0999999999985</v>
      </c>
      <c r="H9" s="166">
        <f>(F9/E9)*100</f>
        <v>112.15231067115607</v>
      </c>
      <c r="N9" s="149"/>
      <c r="O9" s="167"/>
      <c r="P9" s="167"/>
      <c r="Q9" s="167"/>
      <c r="R9" s="149"/>
    </row>
    <row r="10" spans="1:25" ht="28.5" customHeight="1">
      <c r="A10" s="175" t="s">
        <v>138</v>
      </c>
      <c r="B10" s="176" t="s">
        <v>106</v>
      </c>
      <c r="C10" s="177">
        <v>1011</v>
      </c>
      <c r="D10" s="165">
        <f>SUM(D11:D15)</f>
        <v>4023.1</v>
      </c>
      <c r="E10" s="165">
        <f>SUM(E11:E15)</f>
        <v>5278.5999999999995</v>
      </c>
      <c r="F10" s="165">
        <f>SUM(F11:F15)</f>
        <v>4145.7000000000007</v>
      </c>
      <c r="G10" s="166">
        <f t="shared" ref="G10:G29" si="0">F10-E10</f>
        <v>-1132.8999999999987</v>
      </c>
      <c r="H10" s="166">
        <f t="shared" ref="H10:H29" si="1">(F10/E10)*100</f>
        <v>78.537869889743519</v>
      </c>
      <c r="L10" s="178">
        <f>L11+L18+L25</f>
        <v>69925.099999999991</v>
      </c>
      <c r="M10" s="149">
        <f t="shared" ref="M10:N10" si="2">M11+M18+M25</f>
        <v>65906.099999999991</v>
      </c>
      <c r="N10" s="149">
        <f t="shared" si="2"/>
        <v>82183.500000000029</v>
      </c>
      <c r="O10" s="167"/>
      <c r="P10" s="167"/>
      <c r="Q10" s="167"/>
      <c r="R10" s="149"/>
      <c r="X10" s="163"/>
    </row>
    <row r="11" spans="1:25" ht="28.5" customHeight="1">
      <c r="A11" s="179"/>
      <c r="B11" s="180" t="s">
        <v>139</v>
      </c>
      <c r="C11" s="181"/>
      <c r="D11" s="170">
        <v>3723.2</v>
      </c>
      <c r="E11" s="170">
        <v>4717.2</v>
      </c>
      <c r="F11" s="170">
        <f>1302.2+1361.4+1209.8</f>
        <v>3873.4000000000005</v>
      </c>
      <c r="G11" s="182">
        <f t="shared" si="0"/>
        <v>-843.79999999999927</v>
      </c>
      <c r="H11" s="182">
        <f t="shared" si="1"/>
        <v>82.112269990672445</v>
      </c>
      <c r="K11" s="149">
        <v>1010</v>
      </c>
      <c r="L11" s="183">
        <f>SUM(D9,D45,D50,D62,D121,D145,D174,D185,D190,D215,D224,D229,D248,D261,D287,D336)</f>
        <v>65141.099999999991</v>
      </c>
      <c r="M11" s="149">
        <f>SUM(E9,E45,E50,E62,E121,E145,E174,E185,E190,E215,E224,E229,E248,E261,E287,E326,E336)</f>
        <v>62111.899999999994</v>
      </c>
      <c r="N11" s="149">
        <f>SUM(F9,F45,F50,F62,F121,F145,F174,F185,F190,F215,F224,F229,F248,F261,F287,F326,F336)</f>
        <v>75995.800000000017</v>
      </c>
      <c r="O11" s="167"/>
      <c r="P11" s="167"/>
      <c r="Q11" s="167"/>
      <c r="R11" s="168"/>
    </row>
    <row r="12" spans="1:25" ht="24.75" customHeight="1">
      <c r="A12" s="179"/>
      <c r="B12" s="180" t="s">
        <v>140</v>
      </c>
      <c r="C12" s="181"/>
      <c r="D12" s="170">
        <v>267.89999999999998</v>
      </c>
      <c r="E12" s="170">
        <v>450</v>
      </c>
      <c r="F12" s="170">
        <f>70.6+61.9+82.8</f>
        <v>215.3</v>
      </c>
      <c r="G12" s="182">
        <f t="shared" si="0"/>
        <v>-234.7</v>
      </c>
      <c r="H12" s="182">
        <f t="shared" si="1"/>
        <v>47.844444444444449</v>
      </c>
      <c r="J12" s="163"/>
      <c r="K12" s="149">
        <v>1011</v>
      </c>
      <c r="L12" s="168">
        <f>SUM(D10,D51,D63,D122,D146,D175,D191,D216,D262,D288,)</f>
        <v>12265.4</v>
      </c>
      <c r="M12" s="148">
        <f t="shared" ref="M12:N12" si="3">SUM(E10,E51,E63,E122,E146,E175,E191,E216,E262,E288,)</f>
        <v>9021.5</v>
      </c>
      <c r="N12" s="148">
        <f t="shared" si="3"/>
        <v>10908.5</v>
      </c>
      <c r="O12" s="167"/>
      <c r="P12" s="167"/>
      <c r="Q12" s="167"/>
      <c r="R12" s="149"/>
    </row>
    <row r="13" spans="1:25" ht="24" customHeight="1">
      <c r="A13" s="179"/>
      <c r="B13" s="180" t="s">
        <v>141</v>
      </c>
      <c r="C13" s="181"/>
      <c r="D13" s="170">
        <v>32</v>
      </c>
      <c r="E13" s="170">
        <v>44</v>
      </c>
      <c r="F13" s="170"/>
      <c r="G13" s="182">
        <f t="shared" si="0"/>
        <v>-44</v>
      </c>
      <c r="H13" s="182">
        <f t="shared" si="1"/>
        <v>0</v>
      </c>
      <c r="K13" s="149">
        <v>1012</v>
      </c>
      <c r="L13" s="168">
        <f t="shared" ref="L13:N14" si="4">SUM(D16,D46,D70,D128,D186,D200,)</f>
        <v>38672.300000000003</v>
      </c>
      <c r="M13" s="148">
        <f t="shared" si="4"/>
        <v>37239.599999999999</v>
      </c>
      <c r="N13" s="148">
        <f t="shared" si="4"/>
        <v>46963</v>
      </c>
      <c r="O13" s="167"/>
      <c r="P13" s="167"/>
      <c r="Q13" s="167"/>
    </row>
    <row r="14" spans="1:25" ht="28.5" customHeight="1">
      <c r="A14" s="179"/>
      <c r="B14" s="180" t="s">
        <v>258</v>
      </c>
      <c r="C14" s="181"/>
      <c r="D14" s="170"/>
      <c r="E14" s="170">
        <v>67.400000000000006</v>
      </c>
      <c r="F14" s="170">
        <f>8.8+1.3</f>
        <v>10.100000000000001</v>
      </c>
      <c r="G14" s="182">
        <f t="shared" si="0"/>
        <v>-57.300000000000004</v>
      </c>
      <c r="H14" s="182">
        <f t="shared" si="1"/>
        <v>14.985163204747776</v>
      </c>
      <c r="K14" s="149">
        <v>1013</v>
      </c>
      <c r="L14" s="168">
        <f t="shared" si="4"/>
        <v>8180.7000000000007</v>
      </c>
      <c r="M14" s="148">
        <f t="shared" si="4"/>
        <v>8006.8</v>
      </c>
      <c r="N14" s="148">
        <f t="shared" si="4"/>
        <v>9860.7000000000007</v>
      </c>
      <c r="O14" s="162"/>
      <c r="P14" s="162"/>
      <c r="Q14" s="162"/>
      <c r="W14" s="163"/>
    </row>
    <row r="15" spans="1:25" ht="39.75" customHeight="1">
      <c r="A15" s="179"/>
      <c r="B15" s="184" t="s">
        <v>164</v>
      </c>
      <c r="C15" s="181"/>
      <c r="D15" s="170"/>
      <c r="E15" s="170"/>
      <c r="F15" s="170">
        <f>28.7+18.2</f>
        <v>46.9</v>
      </c>
      <c r="G15" s="182">
        <f t="shared" si="0"/>
        <v>46.9</v>
      </c>
      <c r="H15" s="185" t="e">
        <f t="shared" si="1"/>
        <v>#DIV/0!</v>
      </c>
      <c r="K15" s="149">
        <v>1014</v>
      </c>
      <c r="L15" s="168">
        <f>SUM(D18,D72,D337,D295)</f>
        <v>1288.0999999999999</v>
      </c>
      <c r="M15" s="148">
        <f>SUM(E18,E72,E337,E295)</f>
        <v>0</v>
      </c>
      <c r="N15" s="148">
        <f>SUM(F18,F72,F337,F295)</f>
        <v>1671.1000000000001</v>
      </c>
      <c r="O15" s="162"/>
      <c r="P15" s="162"/>
      <c r="Q15" s="162"/>
    </row>
    <row r="16" spans="1:25" ht="33" customHeight="1">
      <c r="A16" s="175" t="s">
        <v>142</v>
      </c>
      <c r="B16" s="176" t="s">
        <v>2</v>
      </c>
      <c r="C16" s="186">
        <v>1012</v>
      </c>
      <c r="D16" s="165">
        <v>36648.800000000003</v>
      </c>
      <c r="E16" s="165">
        <v>36920</v>
      </c>
      <c r="F16" s="165">
        <f>46804.2-2899.9</f>
        <v>43904.299999999996</v>
      </c>
      <c r="G16" s="166">
        <f t="shared" si="0"/>
        <v>6984.2999999999956</v>
      </c>
      <c r="H16" s="166">
        <f t="shared" si="1"/>
        <v>118.91738894907908</v>
      </c>
      <c r="K16" s="149">
        <v>1015</v>
      </c>
      <c r="L16" s="168">
        <f>SUM(D19,D57,D73,D130,D150,D202,D225,D230,D249,D269,D296,)</f>
        <v>4734.5999999999995</v>
      </c>
      <c r="M16" s="148">
        <f>SUM(E19,E57,E73,E130,E150,E202,E225,E230,E249,E269,E296,E327)</f>
        <v>7844</v>
      </c>
      <c r="N16" s="148">
        <f>SUM(F19,F57,F73,F130,F150,F202,F225,F230,F249,F269,F296,F327)</f>
        <v>6592.5</v>
      </c>
      <c r="O16" s="167"/>
      <c r="P16" s="167"/>
      <c r="Q16" s="167"/>
    </row>
    <row r="17" spans="1:24" ht="26.25" customHeight="1">
      <c r="A17" s="175" t="s">
        <v>143</v>
      </c>
      <c r="B17" s="176" t="s">
        <v>3</v>
      </c>
      <c r="C17" s="186">
        <v>1013</v>
      </c>
      <c r="D17" s="165">
        <v>7761.1</v>
      </c>
      <c r="E17" s="165">
        <v>7937.8</v>
      </c>
      <c r="F17" s="165">
        <f>9821-817.9</f>
        <v>9003.1</v>
      </c>
      <c r="G17" s="166">
        <f t="shared" si="0"/>
        <v>1065.3000000000002</v>
      </c>
      <c r="H17" s="166">
        <f t="shared" si="1"/>
        <v>113.42059512711332</v>
      </c>
      <c r="N17" s="149"/>
      <c r="O17" s="167"/>
      <c r="P17" s="167"/>
      <c r="Q17" s="167"/>
    </row>
    <row r="18" spans="1:24" ht="27" customHeight="1">
      <c r="A18" s="175" t="s">
        <v>144</v>
      </c>
      <c r="B18" s="176" t="s">
        <v>4</v>
      </c>
      <c r="C18" s="186">
        <v>1014</v>
      </c>
      <c r="D18" s="165">
        <v>11.1</v>
      </c>
      <c r="E18" s="165"/>
      <c r="F18" s="165">
        <v>68.5</v>
      </c>
      <c r="G18" s="166">
        <f t="shared" si="0"/>
        <v>68.5</v>
      </c>
      <c r="H18" s="187" t="e">
        <f t="shared" si="1"/>
        <v>#DIV/0!</v>
      </c>
      <c r="I18" s="188"/>
      <c r="K18" s="149">
        <v>1020</v>
      </c>
      <c r="L18" s="183">
        <f>SUM(D30,D98,D157,D180,D207,D251,D277,D308,D339)</f>
        <v>4308.8999999999996</v>
      </c>
      <c r="M18" s="149">
        <f>SUM(E30,E98,E157,E180,E207,E251,E277,E308,E339)</f>
        <v>3514.5</v>
      </c>
      <c r="N18" s="149">
        <f>SUM(F30,F98,F157,F180,F207,F251,F277,F308,F339)</f>
        <v>5405.6</v>
      </c>
      <c r="O18" s="167"/>
      <c r="P18" s="167"/>
      <c r="Q18" s="167"/>
    </row>
    <row r="19" spans="1:24" ht="30" customHeight="1">
      <c r="A19" s="175" t="s">
        <v>145</v>
      </c>
      <c r="B19" s="176" t="s">
        <v>146</v>
      </c>
      <c r="C19" s="186">
        <v>1015</v>
      </c>
      <c r="D19" s="165">
        <f>SUM(D20:D29)</f>
        <v>715.39999999999986</v>
      </c>
      <c r="E19" s="165">
        <f>SUM(E20:E29)</f>
        <v>1303.1999999999998</v>
      </c>
      <c r="F19" s="165">
        <f>SUM(F20:F29)</f>
        <v>569.10000000000014</v>
      </c>
      <c r="G19" s="166">
        <f t="shared" si="0"/>
        <v>-734.09999999999968</v>
      </c>
      <c r="H19" s="166">
        <f t="shared" si="1"/>
        <v>43.669429097605914</v>
      </c>
      <c r="K19" s="149">
        <v>1021</v>
      </c>
      <c r="L19" s="168">
        <f>SUM(D99,D181,D309,)</f>
        <v>64.800000000000011</v>
      </c>
      <c r="M19" s="189">
        <f t="shared" ref="M19:N19" si="5">SUM(E99,E181,E309,)</f>
        <v>39</v>
      </c>
      <c r="N19" s="148">
        <f t="shared" si="5"/>
        <v>27.2</v>
      </c>
      <c r="O19" s="167"/>
      <c r="P19" s="167"/>
      <c r="Q19" s="167"/>
      <c r="R19" s="168"/>
      <c r="X19" s="168"/>
    </row>
    <row r="20" spans="1:24" ht="27" customHeight="1">
      <c r="A20" s="190"/>
      <c r="B20" s="191" t="s">
        <v>147</v>
      </c>
      <c r="C20" s="192"/>
      <c r="D20" s="193">
        <v>16.600000000000001</v>
      </c>
      <c r="E20" s="193">
        <v>14.4</v>
      </c>
      <c r="F20" s="193">
        <v>17.100000000000001</v>
      </c>
      <c r="G20" s="182">
        <f t="shared" si="0"/>
        <v>2.7000000000000011</v>
      </c>
      <c r="H20" s="182">
        <f t="shared" si="1"/>
        <v>118.75</v>
      </c>
      <c r="K20" s="149">
        <v>1022</v>
      </c>
      <c r="L20" s="168">
        <f>SUM(D31,)</f>
        <v>2967.7</v>
      </c>
      <c r="M20" s="189">
        <f t="shared" ref="M20:N20" si="6">SUM(E31,)</f>
        <v>2694</v>
      </c>
      <c r="N20" s="148">
        <f t="shared" si="6"/>
        <v>3283.4</v>
      </c>
      <c r="O20" s="167"/>
      <c r="P20" s="167"/>
      <c r="Q20" s="167"/>
      <c r="R20" s="149"/>
    </row>
    <row r="21" spans="1:24" ht="25.5" customHeight="1">
      <c r="A21" s="190"/>
      <c r="B21" s="180" t="s">
        <v>148</v>
      </c>
      <c r="C21" s="192"/>
      <c r="D21" s="193">
        <v>164.1</v>
      </c>
      <c r="E21" s="193">
        <v>240</v>
      </c>
      <c r="F21" s="193">
        <f>41.9+39.6+32.4</f>
        <v>113.9</v>
      </c>
      <c r="G21" s="182">
        <f t="shared" si="0"/>
        <v>-126.1</v>
      </c>
      <c r="H21" s="182">
        <f t="shared" si="1"/>
        <v>47.458333333333336</v>
      </c>
      <c r="K21" s="149">
        <v>1023</v>
      </c>
      <c r="L21" s="168">
        <f>SUM(D32)</f>
        <v>659.6</v>
      </c>
      <c r="M21" s="189">
        <f t="shared" ref="M21:N21" si="7">SUM(E32)</f>
        <v>579.20000000000005</v>
      </c>
      <c r="N21" s="148">
        <f t="shared" si="7"/>
        <v>710.7</v>
      </c>
      <c r="O21" s="167"/>
      <c r="P21" s="167"/>
      <c r="Q21" s="167"/>
    </row>
    <row r="22" spans="1:24" ht="22.5" customHeight="1">
      <c r="A22" s="190"/>
      <c r="B22" s="180" t="s">
        <v>149</v>
      </c>
      <c r="C22" s="192"/>
      <c r="D22" s="193">
        <v>31.9</v>
      </c>
      <c r="E22" s="193">
        <v>75</v>
      </c>
      <c r="F22" s="193">
        <f>48.9+10.7</f>
        <v>59.599999999999994</v>
      </c>
      <c r="G22" s="182">
        <f t="shared" si="0"/>
        <v>-15.400000000000006</v>
      </c>
      <c r="H22" s="182">
        <f t="shared" si="1"/>
        <v>79.466666666666669</v>
      </c>
      <c r="K22" s="149">
        <v>1024</v>
      </c>
      <c r="L22" s="194">
        <f>SUM(D340)</f>
        <v>406.4</v>
      </c>
      <c r="M22" s="189">
        <f t="shared" ref="M22:N22" si="8">SUM(E340)</f>
        <v>0</v>
      </c>
      <c r="N22" s="148">
        <f t="shared" si="8"/>
        <v>921.6</v>
      </c>
      <c r="O22" s="162"/>
      <c r="P22" s="162"/>
      <c r="Q22" s="162"/>
    </row>
    <row r="23" spans="1:24" ht="24" customHeight="1">
      <c r="A23" s="190"/>
      <c r="B23" s="180" t="s">
        <v>150</v>
      </c>
      <c r="C23" s="192"/>
      <c r="D23" s="193">
        <v>24.4</v>
      </c>
      <c r="E23" s="193">
        <v>37</v>
      </c>
      <c r="F23" s="193">
        <f>3.5+12.5+14</f>
        <v>30</v>
      </c>
      <c r="G23" s="182">
        <f t="shared" si="0"/>
        <v>-7</v>
      </c>
      <c r="H23" s="182">
        <f t="shared" si="1"/>
        <v>81.081081081081081</v>
      </c>
      <c r="K23" s="149">
        <v>1025</v>
      </c>
      <c r="L23" s="168">
        <f>SUM(D33,D103,D158,D208,D252,D278,D312,)</f>
        <v>210.4</v>
      </c>
      <c r="M23" s="189">
        <f>SUM(E33,E103,E158,E208,E252,E278,E312,)</f>
        <v>202.3</v>
      </c>
      <c r="N23" s="148">
        <f>SUM(F33,F103,F158,F208,F252,F278,F312,)</f>
        <v>462.70000000000005</v>
      </c>
      <c r="O23" s="167"/>
      <c r="P23" s="167"/>
      <c r="Q23" s="167"/>
    </row>
    <row r="24" spans="1:24" ht="27" customHeight="1">
      <c r="A24" s="190"/>
      <c r="B24" s="180" t="s">
        <v>151</v>
      </c>
      <c r="C24" s="192"/>
      <c r="D24" s="193">
        <v>189.4</v>
      </c>
      <c r="E24" s="193">
        <v>355</v>
      </c>
      <c r="F24" s="193">
        <f>63.4+81.1+6</f>
        <v>150.5</v>
      </c>
      <c r="G24" s="182">
        <f t="shared" si="0"/>
        <v>-204.5</v>
      </c>
      <c r="H24" s="182">
        <f t="shared" si="1"/>
        <v>42.394366197183096</v>
      </c>
    </row>
    <row r="25" spans="1:24" ht="24" customHeight="1">
      <c r="A25" s="190"/>
      <c r="B25" s="180" t="s">
        <v>152</v>
      </c>
      <c r="C25" s="192" t="s">
        <v>252</v>
      </c>
      <c r="D25" s="193">
        <v>210.2</v>
      </c>
      <c r="E25" s="193">
        <v>477.2</v>
      </c>
      <c r="F25" s="193">
        <f>54.5+56.6-34.3+10+11.2-36.8</f>
        <v>61.2</v>
      </c>
      <c r="G25" s="182">
        <f t="shared" si="0"/>
        <v>-416</v>
      </c>
      <c r="H25" s="182">
        <f t="shared" si="1"/>
        <v>12.824811399832356</v>
      </c>
      <c r="K25" s="149">
        <v>1030</v>
      </c>
      <c r="L25" s="183">
        <f>SUM(D38,D114,D140,D167,D234,D241,D256,D282,D331,D326)</f>
        <v>475.1</v>
      </c>
      <c r="M25" s="149">
        <f>SUM(E38,E114,E140,E167,E234,E241,E256,E282,E331,)</f>
        <v>279.70000000000005</v>
      </c>
      <c r="N25" s="149">
        <f>SUM(F38,F114,F140,F167,F234,F241,F256,F282,F331,)</f>
        <v>782.0999999999998</v>
      </c>
      <c r="O25" s="167"/>
      <c r="P25" s="167"/>
      <c r="Q25" s="167"/>
    </row>
    <row r="26" spans="1:24" ht="26.25" customHeight="1">
      <c r="A26" s="190"/>
      <c r="B26" s="180" t="s">
        <v>153</v>
      </c>
      <c r="C26" s="192"/>
      <c r="D26" s="193">
        <v>23.5</v>
      </c>
      <c r="E26" s="193">
        <v>58.7</v>
      </c>
      <c r="F26" s="193">
        <v>30.1</v>
      </c>
      <c r="G26" s="182">
        <f t="shared" si="0"/>
        <v>-28.6</v>
      </c>
      <c r="H26" s="182">
        <f t="shared" si="1"/>
        <v>51.277683134582617</v>
      </c>
      <c r="K26" s="149">
        <v>1031</v>
      </c>
      <c r="N26" s="149"/>
      <c r="O26" s="167"/>
      <c r="P26" s="167"/>
      <c r="Q26" s="167"/>
    </row>
    <row r="27" spans="1:24" ht="27.75" customHeight="1">
      <c r="A27" s="190"/>
      <c r="B27" s="180" t="s">
        <v>167</v>
      </c>
      <c r="C27" s="192"/>
      <c r="D27" s="193"/>
      <c r="E27" s="193"/>
      <c r="F27" s="193">
        <f>61.9+20</f>
        <v>81.900000000000006</v>
      </c>
      <c r="G27" s="182">
        <f t="shared" si="0"/>
        <v>81.900000000000006</v>
      </c>
      <c r="H27" s="185" t="e">
        <f t="shared" si="1"/>
        <v>#DIV/0!</v>
      </c>
      <c r="K27" s="149">
        <v>1032</v>
      </c>
      <c r="L27" s="168">
        <f>SUM(D39,)</f>
        <v>246.7</v>
      </c>
      <c r="M27" s="148">
        <f t="shared" ref="M27:N27" si="9">SUM(E39,)</f>
        <v>0</v>
      </c>
      <c r="N27" s="148">
        <f t="shared" si="9"/>
        <v>533.29999999999995</v>
      </c>
      <c r="O27" s="167"/>
      <c r="P27" s="167"/>
      <c r="Q27" s="167"/>
    </row>
    <row r="28" spans="1:24" ht="25.5" customHeight="1">
      <c r="A28" s="190"/>
      <c r="B28" s="191" t="s">
        <v>154</v>
      </c>
      <c r="C28" s="192"/>
      <c r="D28" s="193">
        <v>40.299999999999997</v>
      </c>
      <c r="E28" s="193">
        <v>28.8</v>
      </c>
      <c r="F28" s="193">
        <v>23.2</v>
      </c>
      <c r="G28" s="182">
        <f t="shared" si="0"/>
        <v>-5.6000000000000014</v>
      </c>
      <c r="H28" s="182">
        <f t="shared" si="1"/>
        <v>80.555555555555543</v>
      </c>
      <c r="K28" s="149">
        <v>1033</v>
      </c>
      <c r="L28" s="168">
        <f>SUM(D40,)</f>
        <v>95.2</v>
      </c>
      <c r="M28" s="148">
        <f t="shared" ref="M28:N28" si="10">SUM(E40,)</f>
        <v>0</v>
      </c>
      <c r="N28" s="148">
        <f t="shared" si="10"/>
        <v>146.30000000000001</v>
      </c>
      <c r="O28" s="167"/>
      <c r="P28" s="167"/>
      <c r="Q28" s="167"/>
    </row>
    <row r="29" spans="1:24" ht="25.5" customHeight="1">
      <c r="A29" s="190"/>
      <c r="B29" s="180" t="s">
        <v>155</v>
      </c>
      <c r="C29" s="192"/>
      <c r="D29" s="193">
        <v>15</v>
      </c>
      <c r="E29" s="193">
        <v>17.100000000000001</v>
      </c>
      <c r="F29" s="193">
        <v>1.6</v>
      </c>
      <c r="G29" s="182">
        <f t="shared" si="0"/>
        <v>-15.500000000000002</v>
      </c>
      <c r="H29" s="182">
        <f t="shared" si="1"/>
        <v>9.3567251461988299</v>
      </c>
      <c r="K29" s="149">
        <v>1034</v>
      </c>
      <c r="O29" s="167"/>
      <c r="P29" s="167"/>
      <c r="Q29" s="167"/>
    </row>
    <row r="30" spans="1:24" ht="30" customHeight="1">
      <c r="A30" s="171" t="s">
        <v>87</v>
      </c>
      <c r="B30" s="195" t="s">
        <v>91</v>
      </c>
      <c r="C30" s="173">
        <v>1020</v>
      </c>
      <c r="D30" s="174">
        <f>D31+D32+D33</f>
        <v>3660.8999999999996</v>
      </c>
      <c r="E30" s="174">
        <f>E31+E32+E33</f>
        <v>3317</v>
      </c>
      <c r="F30" s="174">
        <f>F31+F32+F33</f>
        <v>4075.2000000000003</v>
      </c>
      <c r="G30" s="196">
        <f>F30-E30</f>
        <v>758.20000000000027</v>
      </c>
      <c r="H30" s="196">
        <f>(F30/E30)*100</f>
        <v>122.85800422068134</v>
      </c>
      <c r="K30" s="149">
        <v>1035</v>
      </c>
      <c r="L30" s="168">
        <f>SUM(D41,D115,D141,D168,D235,D242,D257,D283,D332,D327)</f>
        <v>133.19999999999999</v>
      </c>
      <c r="M30" s="148">
        <f>SUM(E41,E115,E141,E168,E235,E242,E257,E283,E332)</f>
        <v>279.70000000000005</v>
      </c>
      <c r="N30" s="148">
        <f>SUM(F41,F115,F141,F168,F235,F242,F257,F283,F332)</f>
        <v>102.5</v>
      </c>
    </row>
    <row r="31" spans="1:24" ht="28.5" customHeight="1">
      <c r="A31" s="175" t="s">
        <v>156</v>
      </c>
      <c r="B31" s="176" t="s">
        <v>2</v>
      </c>
      <c r="C31" s="186">
        <v>1022</v>
      </c>
      <c r="D31" s="174">
        <v>2967.7</v>
      </c>
      <c r="E31" s="165">
        <v>2694</v>
      </c>
      <c r="F31" s="165">
        <f>3283.4</f>
        <v>3283.4</v>
      </c>
      <c r="G31" s="166">
        <f t="shared" ref="G31:G42" si="11">F31-E31</f>
        <v>589.40000000000009</v>
      </c>
      <c r="H31" s="166">
        <f t="shared" ref="H31:H42" si="12">(F31/E31)*100</f>
        <v>121.87824795842614</v>
      </c>
      <c r="N31" s="149"/>
      <c r="O31" s="197"/>
      <c r="P31" s="197"/>
      <c r="Q31" s="197"/>
    </row>
    <row r="32" spans="1:24" ht="31.5" customHeight="1">
      <c r="A32" s="175" t="s">
        <v>157</v>
      </c>
      <c r="B32" s="176" t="s">
        <v>3</v>
      </c>
      <c r="C32" s="186">
        <v>1023</v>
      </c>
      <c r="D32" s="174">
        <v>659.6</v>
      </c>
      <c r="E32" s="165">
        <v>579.20000000000005</v>
      </c>
      <c r="F32" s="165">
        <f>710.7</f>
        <v>710.7</v>
      </c>
      <c r="G32" s="166">
        <f t="shared" si="11"/>
        <v>131.5</v>
      </c>
      <c r="H32" s="166">
        <f t="shared" si="12"/>
        <v>122.70372928176796</v>
      </c>
      <c r="K32" s="149">
        <v>9000</v>
      </c>
      <c r="L32" s="163">
        <f>L12+L19+L26</f>
        <v>12330.199999999999</v>
      </c>
      <c r="M32" s="148">
        <f t="shared" ref="M32:N32" si="13">M12+M19+M26</f>
        <v>9060.5</v>
      </c>
      <c r="N32" s="148">
        <f t="shared" si="13"/>
        <v>10935.7</v>
      </c>
      <c r="O32" s="197"/>
      <c r="P32" s="197"/>
      <c r="Q32" s="197"/>
    </row>
    <row r="33" spans="1:19" ht="30" customHeight="1">
      <c r="A33" s="175" t="s">
        <v>158</v>
      </c>
      <c r="B33" s="176" t="s">
        <v>159</v>
      </c>
      <c r="C33" s="177">
        <v>1025</v>
      </c>
      <c r="D33" s="174">
        <f>SUM(D34:D37)</f>
        <v>33.6</v>
      </c>
      <c r="E33" s="174">
        <f>SUM(E34:E37)</f>
        <v>43.800000000000004</v>
      </c>
      <c r="F33" s="174">
        <f>SUM(F34:F37)</f>
        <v>81.099999999999994</v>
      </c>
      <c r="G33" s="166">
        <f t="shared" si="11"/>
        <v>37.29999999999999</v>
      </c>
      <c r="H33" s="166">
        <f t="shared" si="12"/>
        <v>185.15981735159815</v>
      </c>
      <c r="K33" s="149">
        <v>9010</v>
      </c>
      <c r="L33" s="163">
        <f>L13+L20+L27</f>
        <v>41886.699999999997</v>
      </c>
      <c r="M33" s="148">
        <f t="shared" ref="M33:N33" si="14">M13+M20+M27</f>
        <v>39933.599999999999</v>
      </c>
      <c r="N33" s="148">
        <f t="shared" si="14"/>
        <v>50779.700000000004</v>
      </c>
      <c r="O33" s="198"/>
      <c r="P33" s="198"/>
      <c r="Q33" s="198"/>
    </row>
    <row r="34" spans="1:19" ht="28.5" customHeight="1">
      <c r="A34" s="175"/>
      <c r="B34" s="180" t="s">
        <v>155</v>
      </c>
      <c r="C34" s="181"/>
      <c r="D34" s="193">
        <v>5.7</v>
      </c>
      <c r="E34" s="193">
        <v>5.0999999999999996</v>
      </c>
      <c r="F34" s="193"/>
      <c r="G34" s="182">
        <f t="shared" si="11"/>
        <v>-5.0999999999999996</v>
      </c>
      <c r="H34" s="182">
        <f t="shared" si="12"/>
        <v>0</v>
      </c>
      <c r="K34" s="149">
        <v>9020</v>
      </c>
      <c r="L34" s="163">
        <f>L14+L21+L28</f>
        <v>8935.5000000000018</v>
      </c>
      <c r="M34" s="148">
        <f t="shared" ref="M34:N34" si="15">M14+M21+M28</f>
        <v>8586</v>
      </c>
      <c r="N34" s="148">
        <f t="shared" si="15"/>
        <v>10717.7</v>
      </c>
      <c r="O34" s="198"/>
      <c r="P34" s="198"/>
      <c r="Q34" s="198"/>
    </row>
    <row r="35" spans="1:19" ht="40.5" customHeight="1">
      <c r="A35" s="175"/>
      <c r="B35" s="180" t="s">
        <v>160</v>
      </c>
      <c r="C35" s="181"/>
      <c r="D35" s="193">
        <v>26</v>
      </c>
      <c r="E35" s="193">
        <v>36</v>
      </c>
      <c r="F35" s="193">
        <f>22.2+29.9</f>
        <v>52.099999999999994</v>
      </c>
      <c r="G35" s="182">
        <f t="shared" si="11"/>
        <v>16.099999999999994</v>
      </c>
      <c r="H35" s="182">
        <f t="shared" si="12"/>
        <v>144.7222222222222</v>
      </c>
      <c r="K35" s="149">
        <v>9030</v>
      </c>
      <c r="L35" s="163">
        <f>L15+L22+L29</f>
        <v>1694.5</v>
      </c>
      <c r="M35" s="148">
        <f t="shared" ref="M35:N35" si="16">M15+M22+M29</f>
        <v>0</v>
      </c>
      <c r="N35" s="148">
        <f t="shared" si="16"/>
        <v>2592.7000000000003</v>
      </c>
      <c r="O35" s="197"/>
      <c r="P35" s="197"/>
      <c r="Q35" s="197"/>
    </row>
    <row r="36" spans="1:19" ht="27" customHeight="1">
      <c r="A36" s="175"/>
      <c r="B36" s="180" t="s">
        <v>529</v>
      </c>
      <c r="C36" s="181"/>
      <c r="D36" s="193"/>
      <c r="E36" s="193"/>
      <c r="F36" s="193">
        <v>29</v>
      </c>
      <c r="G36" s="182">
        <f t="shared" si="11"/>
        <v>29</v>
      </c>
      <c r="H36" s="185" t="e">
        <f t="shared" si="12"/>
        <v>#DIV/0!</v>
      </c>
      <c r="K36" s="149">
        <v>9040</v>
      </c>
      <c r="L36" s="163">
        <f>L16+L23+L30</f>
        <v>5078.1999999999989</v>
      </c>
      <c r="M36" s="148">
        <f t="shared" ref="M36:N36" si="17">M16+M23+M30</f>
        <v>8326</v>
      </c>
      <c r="N36" s="148">
        <f t="shared" si="17"/>
        <v>7157.7</v>
      </c>
      <c r="O36" s="197"/>
      <c r="P36" s="197"/>
      <c r="Q36" s="197"/>
    </row>
    <row r="37" spans="1:19" ht="24" customHeight="1">
      <c r="A37" s="175"/>
      <c r="B37" s="180" t="s">
        <v>161</v>
      </c>
      <c r="C37" s="181"/>
      <c r="D37" s="193">
        <v>1.9</v>
      </c>
      <c r="E37" s="193">
        <v>2.7</v>
      </c>
      <c r="F37" s="193"/>
      <c r="G37" s="182">
        <f t="shared" si="11"/>
        <v>-2.7</v>
      </c>
      <c r="H37" s="182">
        <f t="shared" si="12"/>
        <v>0</v>
      </c>
      <c r="K37" s="149">
        <v>9050</v>
      </c>
      <c r="L37" s="178">
        <f>SUM(L32:L36)</f>
        <v>69925.099999999991</v>
      </c>
      <c r="M37" s="149">
        <f>SUM(M32:M36)</f>
        <v>65906.100000000006</v>
      </c>
      <c r="N37" s="149">
        <f>SUM(N32:N36)</f>
        <v>82183.5</v>
      </c>
      <c r="O37" s="162"/>
      <c r="P37" s="162"/>
      <c r="Q37" s="162"/>
      <c r="S37" s="163"/>
    </row>
    <row r="38" spans="1:19" ht="23.25" customHeight="1">
      <c r="A38" s="171" t="s">
        <v>90</v>
      </c>
      <c r="B38" s="199" t="s">
        <v>92</v>
      </c>
      <c r="C38" s="173">
        <v>1030</v>
      </c>
      <c r="D38" s="174">
        <f>D39+D40</f>
        <v>341.9</v>
      </c>
      <c r="E38" s="174">
        <f>E39+E40</f>
        <v>0</v>
      </c>
      <c r="F38" s="174">
        <f>F39+F40+F41</f>
        <v>686.49999999999989</v>
      </c>
      <c r="G38" s="196">
        <f t="shared" si="11"/>
        <v>686.49999999999989</v>
      </c>
      <c r="H38" s="200" t="e">
        <f t="shared" si="12"/>
        <v>#DIV/0!</v>
      </c>
      <c r="Q38" s="201"/>
    </row>
    <row r="39" spans="1:19" ht="23.25" customHeight="1">
      <c r="A39" s="175" t="s">
        <v>162</v>
      </c>
      <c r="B39" s="176" t="s">
        <v>2</v>
      </c>
      <c r="C39" s="186">
        <v>1032</v>
      </c>
      <c r="D39" s="165">
        <v>246.7</v>
      </c>
      <c r="E39" s="165"/>
      <c r="F39" s="165">
        <v>533.29999999999995</v>
      </c>
      <c r="G39" s="166">
        <f t="shared" si="11"/>
        <v>533.29999999999995</v>
      </c>
      <c r="H39" s="187" t="e">
        <f t="shared" si="12"/>
        <v>#DIV/0!</v>
      </c>
    </row>
    <row r="40" spans="1:19" ht="23.25" customHeight="1">
      <c r="A40" s="175" t="s">
        <v>163</v>
      </c>
      <c r="B40" s="176" t="s">
        <v>3</v>
      </c>
      <c r="C40" s="186">
        <v>1033</v>
      </c>
      <c r="D40" s="165">
        <v>95.2</v>
      </c>
      <c r="E40" s="165"/>
      <c r="F40" s="165">
        <v>146.30000000000001</v>
      </c>
      <c r="G40" s="166">
        <f t="shared" si="11"/>
        <v>146.30000000000001</v>
      </c>
      <c r="H40" s="187" t="e">
        <f t="shared" si="12"/>
        <v>#DIV/0!</v>
      </c>
      <c r="R40" s="163"/>
    </row>
    <row r="41" spans="1:19" ht="23.25" customHeight="1">
      <c r="A41" s="175" t="s">
        <v>502</v>
      </c>
      <c r="B41" s="202" t="s">
        <v>92</v>
      </c>
      <c r="C41" s="186">
        <v>1035</v>
      </c>
      <c r="D41" s="165"/>
      <c r="E41" s="165"/>
      <c r="F41" s="165">
        <f>F42</f>
        <v>6.9</v>
      </c>
      <c r="G41" s="166">
        <f t="shared" si="11"/>
        <v>6.9</v>
      </c>
      <c r="H41" s="187" t="e">
        <f t="shared" si="12"/>
        <v>#DIV/0!</v>
      </c>
    </row>
    <row r="42" spans="1:19" ht="23.25" customHeight="1">
      <c r="A42" s="175"/>
      <c r="B42" s="180" t="s">
        <v>172</v>
      </c>
      <c r="C42" s="192"/>
      <c r="D42" s="193"/>
      <c r="E42" s="193"/>
      <c r="F42" s="170">
        <v>6.9</v>
      </c>
      <c r="G42" s="182">
        <f t="shared" si="11"/>
        <v>6.9</v>
      </c>
      <c r="H42" s="185" t="e">
        <f t="shared" si="12"/>
        <v>#DIV/0!</v>
      </c>
    </row>
    <row r="43" spans="1:19" ht="42" customHeight="1">
      <c r="A43" s="203" t="s">
        <v>93</v>
      </c>
      <c r="B43" s="164" t="s">
        <v>268</v>
      </c>
      <c r="C43" s="186"/>
      <c r="D43" s="165">
        <f>D45</f>
        <v>0</v>
      </c>
      <c r="E43" s="165">
        <f>E45</f>
        <v>0</v>
      </c>
      <c r="F43" s="165">
        <f>F45</f>
        <v>3717.8</v>
      </c>
      <c r="G43" s="182">
        <f t="shared" ref="G43:G106" si="18">F43-E43</f>
        <v>3717.8</v>
      </c>
      <c r="H43" s="185" t="e">
        <f t="shared" ref="H43:H106" si="19">(F43/E43)*100</f>
        <v>#DIV/0!</v>
      </c>
    </row>
    <row r="44" spans="1:19" ht="23.25" customHeight="1">
      <c r="A44" s="158"/>
      <c r="B44" s="169" t="s">
        <v>85</v>
      </c>
      <c r="C44" s="155"/>
      <c r="D44" s="165"/>
      <c r="E44" s="165"/>
      <c r="F44" s="165"/>
      <c r="G44" s="182"/>
      <c r="H44" s="185"/>
    </row>
    <row r="45" spans="1:19" ht="23.25" customHeight="1">
      <c r="A45" s="171" t="s">
        <v>373</v>
      </c>
      <c r="B45" s="172" t="s">
        <v>89</v>
      </c>
      <c r="C45" s="173">
        <v>1010</v>
      </c>
      <c r="D45" s="174">
        <f>D46+D47</f>
        <v>0</v>
      </c>
      <c r="E45" s="174">
        <f>E46+E47</f>
        <v>0</v>
      </c>
      <c r="F45" s="174">
        <f>F46+F47</f>
        <v>3717.8</v>
      </c>
      <c r="G45" s="196">
        <f t="shared" si="18"/>
        <v>3717.8</v>
      </c>
      <c r="H45" s="200" t="e">
        <f t="shared" si="19"/>
        <v>#DIV/0!</v>
      </c>
    </row>
    <row r="46" spans="1:19" ht="26.25" customHeight="1">
      <c r="A46" s="175" t="s">
        <v>374</v>
      </c>
      <c r="B46" s="176" t="s">
        <v>2</v>
      </c>
      <c r="C46" s="186">
        <v>1012</v>
      </c>
      <c r="D46" s="193"/>
      <c r="E46" s="193"/>
      <c r="F46" s="165">
        <v>2899.9</v>
      </c>
      <c r="G46" s="182">
        <f t="shared" si="18"/>
        <v>2899.9</v>
      </c>
      <c r="H46" s="185" t="e">
        <f t="shared" si="19"/>
        <v>#DIV/0!</v>
      </c>
    </row>
    <row r="47" spans="1:19" ht="28.5" customHeight="1">
      <c r="A47" s="175" t="s">
        <v>375</v>
      </c>
      <c r="B47" s="176" t="s">
        <v>3</v>
      </c>
      <c r="C47" s="186">
        <v>1013</v>
      </c>
      <c r="D47" s="193"/>
      <c r="E47" s="193"/>
      <c r="F47" s="165">
        <v>817.9</v>
      </c>
      <c r="G47" s="182">
        <f t="shared" si="18"/>
        <v>817.9</v>
      </c>
      <c r="H47" s="185" t="e">
        <f t="shared" si="19"/>
        <v>#DIV/0!</v>
      </c>
    </row>
    <row r="48" spans="1:19" ht="41.25" customHeight="1">
      <c r="A48" s="175" t="s">
        <v>104</v>
      </c>
      <c r="B48" s="204" t="s">
        <v>496</v>
      </c>
      <c r="C48" s="186"/>
      <c r="D48" s="193"/>
      <c r="E48" s="193"/>
      <c r="F48" s="165">
        <f>F50</f>
        <v>241.70000000000002</v>
      </c>
      <c r="G48" s="182">
        <f t="shared" si="18"/>
        <v>241.70000000000002</v>
      </c>
      <c r="H48" s="185" t="e">
        <f t="shared" si="19"/>
        <v>#DIV/0!</v>
      </c>
    </row>
    <row r="49" spans="1:13" ht="23.25" customHeight="1">
      <c r="A49" s="175"/>
      <c r="B49" s="205" t="s">
        <v>85</v>
      </c>
      <c r="C49" s="186"/>
      <c r="D49" s="193"/>
      <c r="E49" s="193"/>
      <c r="F49" s="165"/>
      <c r="G49" s="182"/>
      <c r="H49" s="185"/>
    </row>
    <row r="50" spans="1:13" ht="27" customHeight="1">
      <c r="A50" s="206" t="s">
        <v>376</v>
      </c>
      <c r="B50" s="207" t="s">
        <v>89</v>
      </c>
      <c r="C50" s="208">
        <v>1010</v>
      </c>
      <c r="D50" s="193"/>
      <c r="E50" s="193"/>
      <c r="F50" s="174">
        <f>F51+F57</f>
        <v>241.70000000000002</v>
      </c>
      <c r="G50" s="209">
        <f t="shared" si="18"/>
        <v>241.70000000000002</v>
      </c>
      <c r="H50" s="210" t="e">
        <f t="shared" si="19"/>
        <v>#DIV/0!</v>
      </c>
    </row>
    <row r="51" spans="1:13" ht="26.25" customHeight="1">
      <c r="A51" s="175" t="s">
        <v>504</v>
      </c>
      <c r="B51" s="211" t="s">
        <v>106</v>
      </c>
      <c r="C51" s="177">
        <v>1011</v>
      </c>
      <c r="D51" s="193"/>
      <c r="E51" s="193"/>
      <c r="F51" s="165">
        <f>SUM(F52:F56)</f>
        <v>211.8</v>
      </c>
      <c r="G51" s="182">
        <f t="shared" si="18"/>
        <v>211.8</v>
      </c>
      <c r="H51" s="185" t="e">
        <f t="shared" si="19"/>
        <v>#DIV/0!</v>
      </c>
    </row>
    <row r="52" spans="1:13" ht="23.25" customHeight="1">
      <c r="A52" s="175"/>
      <c r="B52" s="184" t="s">
        <v>139</v>
      </c>
      <c r="C52" s="186"/>
      <c r="D52" s="193"/>
      <c r="E52" s="193"/>
      <c r="F52" s="170">
        <f>43.4+28.1+14.7</f>
        <v>86.2</v>
      </c>
      <c r="G52" s="182">
        <f t="shared" si="18"/>
        <v>86.2</v>
      </c>
      <c r="H52" s="185" t="e">
        <f t="shared" si="19"/>
        <v>#DIV/0!</v>
      </c>
    </row>
    <row r="53" spans="1:13" ht="23.25" customHeight="1">
      <c r="A53" s="175"/>
      <c r="B53" s="184" t="s">
        <v>140</v>
      </c>
      <c r="C53" s="186"/>
      <c r="D53" s="193"/>
      <c r="E53" s="193"/>
      <c r="F53" s="170">
        <v>20.7</v>
      </c>
      <c r="G53" s="182">
        <f t="shared" si="18"/>
        <v>20.7</v>
      </c>
      <c r="H53" s="185" t="e">
        <f t="shared" si="19"/>
        <v>#DIV/0!</v>
      </c>
    </row>
    <row r="54" spans="1:13" ht="23.25" customHeight="1">
      <c r="A54" s="175"/>
      <c r="B54" s="184" t="s">
        <v>258</v>
      </c>
      <c r="C54" s="186"/>
      <c r="D54" s="193"/>
      <c r="E54" s="193"/>
      <c r="F54" s="170">
        <v>6.8</v>
      </c>
      <c r="G54" s="182">
        <f t="shared" si="18"/>
        <v>6.8</v>
      </c>
      <c r="H54" s="185" t="e">
        <f t="shared" si="19"/>
        <v>#DIV/0!</v>
      </c>
    </row>
    <row r="55" spans="1:13" ht="45" customHeight="1">
      <c r="A55" s="175"/>
      <c r="B55" s="184" t="s">
        <v>164</v>
      </c>
      <c r="C55" s="186"/>
      <c r="D55" s="193"/>
      <c r="E55" s="193"/>
      <c r="F55" s="170">
        <f>56.1+35</f>
        <v>91.1</v>
      </c>
      <c r="G55" s="182">
        <f t="shared" si="18"/>
        <v>91.1</v>
      </c>
      <c r="H55" s="185" t="e">
        <f t="shared" si="19"/>
        <v>#DIV/0!</v>
      </c>
    </row>
    <row r="56" spans="1:13" ht="23.25" customHeight="1">
      <c r="A56" s="175"/>
      <c r="B56" s="212" t="s">
        <v>165</v>
      </c>
      <c r="C56" s="186"/>
      <c r="D56" s="193"/>
      <c r="E56" s="193"/>
      <c r="F56" s="170">
        <v>7</v>
      </c>
      <c r="G56" s="182">
        <f t="shared" si="18"/>
        <v>7</v>
      </c>
      <c r="H56" s="185" t="e">
        <f t="shared" si="19"/>
        <v>#DIV/0!</v>
      </c>
    </row>
    <row r="57" spans="1:13" ht="28.5" customHeight="1">
      <c r="A57" s="175" t="s">
        <v>504</v>
      </c>
      <c r="B57" s="164" t="s">
        <v>97</v>
      </c>
      <c r="C57" s="160">
        <v>1015</v>
      </c>
      <c r="D57" s="193"/>
      <c r="E57" s="193"/>
      <c r="F57" s="165">
        <f>F58+F59</f>
        <v>29.9</v>
      </c>
      <c r="G57" s="182">
        <f t="shared" si="18"/>
        <v>29.9</v>
      </c>
      <c r="H57" s="185" t="e">
        <f t="shared" si="19"/>
        <v>#DIV/0!</v>
      </c>
    </row>
    <row r="58" spans="1:13" ht="25.5" customHeight="1">
      <c r="A58" s="175"/>
      <c r="B58" s="191" t="s">
        <v>152</v>
      </c>
      <c r="C58" s="186"/>
      <c r="D58" s="193"/>
      <c r="E58" s="193"/>
      <c r="F58" s="170">
        <v>25.8</v>
      </c>
      <c r="G58" s="182">
        <f t="shared" si="18"/>
        <v>25.8</v>
      </c>
      <c r="H58" s="185" t="e">
        <f t="shared" si="19"/>
        <v>#DIV/0!</v>
      </c>
    </row>
    <row r="59" spans="1:13" ht="23.25" customHeight="1">
      <c r="A59" s="175"/>
      <c r="B59" s="180" t="s">
        <v>170</v>
      </c>
      <c r="C59" s="186"/>
      <c r="D59" s="193"/>
      <c r="E59" s="193"/>
      <c r="F59" s="170">
        <v>4.0999999999999996</v>
      </c>
      <c r="G59" s="182">
        <f t="shared" si="18"/>
        <v>4.0999999999999996</v>
      </c>
      <c r="H59" s="185" t="e">
        <f t="shared" si="19"/>
        <v>#DIV/0!</v>
      </c>
    </row>
    <row r="60" spans="1:13" ht="44.25" customHeight="1">
      <c r="A60" s="203" t="s">
        <v>105</v>
      </c>
      <c r="B60" s="204" t="s">
        <v>269</v>
      </c>
      <c r="C60" s="160"/>
      <c r="D60" s="165">
        <f>D62+D98+D114</f>
        <v>741.40000000000009</v>
      </c>
      <c r="E60" s="165">
        <f>E62+E98+E114</f>
        <v>2495.5</v>
      </c>
      <c r="F60" s="165">
        <f>F62+F98+F114</f>
        <v>539.4</v>
      </c>
      <c r="G60" s="166">
        <f t="shared" si="18"/>
        <v>-1956.1</v>
      </c>
      <c r="H60" s="166">
        <f t="shared" si="19"/>
        <v>21.614906832298136</v>
      </c>
      <c r="M60" s="163"/>
    </row>
    <row r="61" spans="1:13" ht="27" customHeight="1">
      <c r="A61" s="158"/>
      <c r="B61" s="213" t="s">
        <v>85</v>
      </c>
      <c r="C61" s="155"/>
      <c r="D61" s="170"/>
      <c r="E61" s="170"/>
      <c r="F61" s="170"/>
      <c r="G61" s="166"/>
      <c r="H61" s="166"/>
    </row>
    <row r="62" spans="1:13" ht="30.75" customHeight="1">
      <c r="A62" s="171" t="s">
        <v>377</v>
      </c>
      <c r="B62" s="172" t="s">
        <v>89</v>
      </c>
      <c r="C62" s="173">
        <v>1010</v>
      </c>
      <c r="D62" s="174">
        <f>D63+D70+D71+D72+D73</f>
        <v>572.6</v>
      </c>
      <c r="E62" s="174">
        <f>E63+E70+E71+E72+E73</f>
        <v>2359.5</v>
      </c>
      <c r="F62" s="174">
        <f>F63+F70+F71+F72+F73</f>
        <v>484.09999999999997</v>
      </c>
      <c r="G62" s="196">
        <f t="shared" si="18"/>
        <v>-1875.4</v>
      </c>
      <c r="H62" s="196">
        <f t="shared" si="19"/>
        <v>20.51705869887688</v>
      </c>
    </row>
    <row r="63" spans="1:13" ht="30.75" customHeight="1">
      <c r="A63" s="175" t="s">
        <v>497</v>
      </c>
      <c r="B63" s="211" t="s">
        <v>106</v>
      </c>
      <c r="C63" s="177">
        <v>1011</v>
      </c>
      <c r="D63" s="165">
        <f>SUM(D64:D69)</f>
        <v>232.29999999999998</v>
      </c>
      <c r="E63" s="165">
        <f>SUM(E64:E69)</f>
        <v>430.4</v>
      </c>
      <c r="F63" s="165">
        <f>SUM(F64:F69)</f>
        <v>93.199999999999989</v>
      </c>
      <c r="G63" s="166">
        <f t="shared" si="18"/>
        <v>-337.2</v>
      </c>
      <c r="H63" s="166">
        <f t="shared" si="19"/>
        <v>21.6542750929368</v>
      </c>
    </row>
    <row r="64" spans="1:13" ht="24.75" customHeight="1">
      <c r="A64" s="206"/>
      <c r="B64" s="184" t="s">
        <v>139</v>
      </c>
      <c r="C64" s="214"/>
      <c r="D64" s="170">
        <v>115.6</v>
      </c>
      <c r="E64" s="170">
        <v>135</v>
      </c>
      <c r="F64" s="170">
        <f>43.4+28.1-43.4+33-28.1-14.7</f>
        <v>18.3</v>
      </c>
      <c r="G64" s="182">
        <f t="shared" si="18"/>
        <v>-116.7</v>
      </c>
      <c r="H64" s="182">
        <f t="shared" si="19"/>
        <v>13.555555555555557</v>
      </c>
    </row>
    <row r="65" spans="1:8" ht="22.5" customHeight="1">
      <c r="A65" s="206"/>
      <c r="B65" s="184" t="s">
        <v>140</v>
      </c>
      <c r="C65" s="214"/>
      <c r="D65" s="170">
        <v>10.8</v>
      </c>
      <c r="E65" s="170">
        <v>72</v>
      </c>
      <c r="F65" s="170">
        <f>20.7+9.9-20.7+13.3</f>
        <v>23.200000000000003</v>
      </c>
      <c r="G65" s="182">
        <f t="shared" si="18"/>
        <v>-48.8</v>
      </c>
      <c r="H65" s="182">
        <f t="shared" si="19"/>
        <v>32.222222222222221</v>
      </c>
    </row>
    <row r="66" spans="1:8" ht="27" customHeight="1">
      <c r="A66" s="206"/>
      <c r="B66" s="184" t="s">
        <v>258</v>
      </c>
      <c r="C66" s="214"/>
      <c r="D66" s="170">
        <v>9.3000000000000007</v>
      </c>
      <c r="E66" s="170">
        <v>17</v>
      </c>
      <c r="F66" s="170">
        <f>6.8+14.8-6.8+7.6</f>
        <v>22.4</v>
      </c>
      <c r="G66" s="182">
        <f t="shared" si="18"/>
        <v>5.3999999999999986</v>
      </c>
      <c r="H66" s="182">
        <f t="shared" si="19"/>
        <v>131.76470588235293</v>
      </c>
    </row>
    <row r="67" spans="1:8" ht="39" customHeight="1">
      <c r="A67" s="175"/>
      <c r="B67" s="184" t="s">
        <v>164</v>
      </c>
      <c r="C67" s="215"/>
      <c r="D67" s="170">
        <v>72.8</v>
      </c>
      <c r="E67" s="170">
        <v>150.4</v>
      </c>
      <c r="F67" s="170">
        <f>26.8+64.5-25-15-35</f>
        <v>16.299999999999997</v>
      </c>
      <c r="G67" s="182">
        <f t="shared" si="18"/>
        <v>-134.10000000000002</v>
      </c>
      <c r="H67" s="182">
        <f t="shared" si="19"/>
        <v>10.837765957446805</v>
      </c>
    </row>
    <row r="68" spans="1:8" ht="27" customHeight="1">
      <c r="A68" s="175"/>
      <c r="B68" s="184" t="s">
        <v>417</v>
      </c>
      <c r="C68" s="215"/>
      <c r="D68" s="170">
        <v>17.600000000000001</v>
      </c>
      <c r="E68" s="170"/>
      <c r="F68" s="170"/>
      <c r="G68" s="182">
        <f t="shared" si="18"/>
        <v>0</v>
      </c>
      <c r="H68" s="185" t="e">
        <f t="shared" si="19"/>
        <v>#DIV/0!</v>
      </c>
    </row>
    <row r="69" spans="1:8" ht="27" customHeight="1">
      <c r="A69" s="175"/>
      <c r="B69" s="212" t="s">
        <v>165</v>
      </c>
      <c r="C69" s="181"/>
      <c r="D69" s="170">
        <v>6.2</v>
      </c>
      <c r="E69" s="170">
        <v>56</v>
      </c>
      <c r="F69" s="170">
        <f>7.1-2.1+20.1-5-7+9.9-10</f>
        <v>13</v>
      </c>
      <c r="G69" s="182">
        <f t="shared" si="18"/>
        <v>-43</v>
      </c>
      <c r="H69" s="182">
        <f t="shared" si="19"/>
        <v>23.214285714285715</v>
      </c>
    </row>
    <row r="70" spans="1:8" ht="31.5" customHeight="1">
      <c r="A70" s="175" t="s">
        <v>378</v>
      </c>
      <c r="B70" s="216" t="s">
        <v>2</v>
      </c>
      <c r="C70" s="177">
        <v>1012</v>
      </c>
      <c r="D70" s="165"/>
      <c r="E70" s="165"/>
      <c r="F70" s="165">
        <f>119.2+2.9+11.2</f>
        <v>133.30000000000001</v>
      </c>
      <c r="G70" s="166">
        <f t="shared" si="18"/>
        <v>133.30000000000001</v>
      </c>
      <c r="H70" s="187" t="e">
        <f t="shared" si="19"/>
        <v>#DIV/0!</v>
      </c>
    </row>
    <row r="71" spans="1:8" ht="27" customHeight="1">
      <c r="A71" s="175" t="s">
        <v>379</v>
      </c>
      <c r="B71" s="216" t="s">
        <v>3</v>
      </c>
      <c r="C71" s="177">
        <v>1013</v>
      </c>
      <c r="D71" s="165"/>
      <c r="E71" s="165"/>
      <c r="F71" s="165">
        <f>24.9+0.6+9</f>
        <v>34.5</v>
      </c>
      <c r="G71" s="166">
        <f t="shared" si="18"/>
        <v>34.5</v>
      </c>
      <c r="H71" s="187" t="e">
        <f t="shared" si="19"/>
        <v>#DIV/0!</v>
      </c>
    </row>
    <row r="72" spans="1:8" ht="27" customHeight="1">
      <c r="A72" s="175" t="s">
        <v>498</v>
      </c>
      <c r="B72" s="216" t="s">
        <v>4</v>
      </c>
      <c r="C72" s="177">
        <v>1014</v>
      </c>
      <c r="D72" s="165">
        <v>132.4</v>
      </c>
      <c r="E72" s="165"/>
      <c r="F72" s="165">
        <v>97.5</v>
      </c>
      <c r="G72" s="166">
        <f t="shared" si="18"/>
        <v>97.5</v>
      </c>
      <c r="H72" s="187" t="e">
        <f t="shared" si="19"/>
        <v>#DIV/0!</v>
      </c>
    </row>
    <row r="73" spans="1:8" ht="29.25" customHeight="1">
      <c r="A73" s="175" t="s">
        <v>499</v>
      </c>
      <c r="B73" s="164" t="s">
        <v>97</v>
      </c>
      <c r="C73" s="160">
        <v>1015</v>
      </c>
      <c r="D73" s="165">
        <f>SUM(D74:D97)</f>
        <v>207.9</v>
      </c>
      <c r="E73" s="165">
        <f>SUM(E74:E97)</f>
        <v>1929.1000000000001</v>
      </c>
      <c r="F73" s="165">
        <f>SUM(F74:F97)</f>
        <v>125.59999999999998</v>
      </c>
      <c r="G73" s="166">
        <f t="shared" si="18"/>
        <v>-1803.5000000000002</v>
      </c>
      <c r="H73" s="166">
        <f t="shared" si="19"/>
        <v>6.5108081488777145</v>
      </c>
    </row>
    <row r="74" spans="1:8" ht="27" customHeight="1">
      <c r="A74" s="175"/>
      <c r="B74" s="191" t="s">
        <v>147</v>
      </c>
      <c r="C74" s="155"/>
      <c r="D74" s="170"/>
      <c r="E74" s="170">
        <v>22.5</v>
      </c>
      <c r="F74" s="170">
        <f>3.4+0.3</f>
        <v>3.6999999999999997</v>
      </c>
      <c r="G74" s="182">
        <f t="shared" si="18"/>
        <v>-18.8</v>
      </c>
      <c r="H74" s="182">
        <f t="shared" si="19"/>
        <v>16.444444444444443</v>
      </c>
    </row>
    <row r="75" spans="1:8" ht="24" customHeight="1">
      <c r="A75" s="175"/>
      <c r="B75" s="191" t="s">
        <v>148</v>
      </c>
      <c r="C75" s="155"/>
      <c r="D75" s="170"/>
      <c r="E75" s="170">
        <v>11</v>
      </c>
      <c r="F75" s="170"/>
      <c r="G75" s="182">
        <f t="shared" si="18"/>
        <v>-11</v>
      </c>
      <c r="H75" s="182">
        <f t="shared" si="19"/>
        <v>0</v>
      </c>
    </row>
    <row r="76" spans="1:8" ht="29.25" customHeight="1">
      <c r="A76" s="175"/>
      <c r="B76" s="191" t="s">
        <v>149</v>
      </c>
      <c r="C76" s="155"/>
      <c r="D76" s="170"/>
      <c r="E76" s="170">
        <v>37.200000000000003</v>
      </c>
      <c r="F76" s="170">
        <v>5.0999999999999996</v>
      </c>
      <c r="G76" s="182">
        <f t="shared" si="18"/>
        <v>-32.1</v>
      </c>
      <c r="H76" s="182">
        <f t="shared" si="19"/>
        <v>13.709677419354838</v>
      </c>
    </row>
    <row r="77" spans="1:8" ht="26.25" customHeight="1">
      <c r="A77" s="175"/>
      <c r="B77" s="191" t="s">
        <v>151</v>
      </c>
      <c r="C77" s="155"/>
      <c r="D77" s="170">
        <v>4.4000000000000004</v>
      </c>
      <c r="E77" s="170">
        <v>18.5</v>
      </c>
      <c r="F77" s="170">
        <f>3+2</f>
        <v>5</v>
      </c>
      <c r="G77" s="182">
        <f t="shared" si="18"/>
        <v>-13.5</v>
      </c>
      <c r="H77" s="182">
        <f t="shared" si="19"/>
        <v>27.027027027027028</v>
      </c>
    </row>
    <row r="78" spans="1:8" ht="25.5" customHeight="1">
      <c r="A78" s="175"/>
      <c r="B78" s="191" t="s">
        <v>152</v>
      </c>
      <c r="C78" s="155"/>
      <c r="D78" s="170">
        <v>36.200000000000003</v>
      </c>
      <c r="E78" s="170">
        <v>90</v>
      </c>
      <c r="F78" s="170">
        <v>5.8</v>
      </c>
      <c r="G78" s="182">
        <f t="shared" si="18"/>
        <v>-84.2</v>
      </c>
      <c r="H78" s="182">
        <f t="shared" si="19"/>
        <v>6.4444444444444446</v>
      </c>
    </row>
    <row r="79" spans="1:8" ht="25.5" customHeight="1">
      <c r="A79" s="175"/>
      <c r="B79" s="191" t="s">
        <v>532</v>
      </c>
      <c r="C79" s="155"/>
      <c r="D79" s="170"/>
      <c r="E79" s="170"/>
      <c r="F79" s="170">
        <v>4.2</v>
      </c>
      <c r="G79" s="182">
        <f t="shared" si="18"/>
        <v>4.2</v>
      </c>
      <c r="H79" s="185" t="e">
        <f t="shared" si="19"/>
        <v>#DIV/0!</v>
      </c>
    </row>
    <row r="80" spans="1:8" ht="30.75" customHeight="1">
      <c r="A80" s="175"/>
      <c r="B80" s="191" t="s">
        <v>166</v>
      </c>
      <c r="C80" s="155"/>
      <c r="D80" s="170">
        <v>2.5</v>
      </c>
      <c r="E80" s="170">
        <v>2.4</v>
      </c>
      <c r="F80" s="170">
        <v>0.8</v>
      </c>
      <c r="G80" s="182">
        <f t="shared" si="18"/>
        <v>-1.5999999999999999</v>
      </c>
      <c r="H80" s="182">
        <f t="shared" si="19"/>
        <v>33.333333333333336</v>
      </c>
    </row>
    <row r="81" spans="1:8" ht="25.5" customHeight="1">
      <c r="A81" s="175"/>
      <c r="B81" s="191" t="s">
        <v>167</v>
      </c>
      <c r="C81" s="155"/>
      <c r="D81" s="170">
        <v>48.2</v>
      </c>
      <c r="E81" s="170">
        <v>50</v>
      </c>
      <c r="F81" s="170">
        <v>2.5</v>
      </c>
      <c r="G81" s="182">
        <f t="shared" si="18"/>
        <v>-47.5</v>
      </c>
      <c r="H81" s="182">
        <f t="shared" si="19"/>
        <v>5</v>
      </c>
    </row>
    <row r="82" spans="1:8" ht="28.5" customHeight="1">
      <c r="A82" s="175"/>
      <c r="B82" s="191" t="s">
        <v>154</v>
      </c>
      <c r="C82" s="155"/>
      <c r="D82" s="170">
        <v>18.8</v>
      </c>
      <c r="E82" s="170">
        <v>25.2</v>
      </c>
      <c r="F82" s="170">
        <f>7.7-1.8+15.5</f>
        <v>21.4</v>
      </c>
      <c r="G82" s="182">
        <f t="shared" si="18"/>
        <v>-3.8000000000000007</v>
      </c>
      <c r="H82" s="182">
        <f t="shared" si="19"/>
        <v>84.920634920634924</v>
      </c>
    </row>
    <row r="83" spans="1:8" ht="29.25" customHeight="1">
      <c r="A83" s="175"/>
      <c r="B83" s="191" t="s">
        <v>168</v>
      </c>
      <c r="C83" s="155"/>
      <c r="D83" s="170">
        <v>10.9</v>
      </c>
      <c r="E83" s="170">
        <v>33</v>
      </c>
      <c r="F83" s="170"/>
      <c r="G83" s="182">
        <f t="shared" si="18"/>
        <v>-33</v>
      </c>
      <c r="H83" s="182">
        <f t="shared" si="19"/>
        <v>0</v>
      </c>
    </row>
    <row r="84" spans="1:8" ht="29.25" customHeight="1">
      <c r="A84" s="175"/>
      <c r="B84" s="191" t="s">
        <v>153</v>
      </c>
      <c r="C84" s="155"/>
      <c r="D84" s="170">
        <v>19</v>
      </c>
      <c r="E84" s="170">
        <v>24</v>
      </c>
      <c r="F84" s="170">
        <v>2.1</v>
      </c>
      <c r="G84" s="182">
        <f t="shared" si="18"/>
        <v>-21.9</v>
      </c>
      <c r="H84" s="182">
        <f t="shared" si="19"/>
        <v>8.75</v>
      </c>
    </row>
    <row r="85" spans="1:8" ht="29.25" customHeight="1">
      <c r="A85" s="175"/>
      <c r="B85" s="217" t="s">
        <v>218</v>
      </c>
      <c r="C85" s="155"/>
      <c r="D85" s="170">
        <v>3.7</v>
      </c>
      <c r="E85" s="170"/>
      <c r="F85" s="170">
        <f>18.5-6+37.4</f>
        <v>49.9</v>
      </c>
      <c r="G85" s="182">
        <f t="shared" si="18"/>
        <v>49.9</v>
      </c>
      <c r="H85" s="182" t="e">
        <f t="shared" si="19"/>
        <v>#DIV/0!</v>
      </c>
    </row>
    <row r="86" spans="1:8" ht="28.5" customHeight="1">
      <c r="A86" s="175"/>
      <c r="B86" s="218" t="s">
        <v>155</v>
      </c>
      <c r="C86" s="155"/>
      <c r="D86" s="170">
        <v>10.8</v>
      </c>
      <c r="E86" s="170">
        <v>5.7</v>
      </c>
      <c r="F86" s="170">
        <f>0.3+4+6.8</f>
        <v>11.1</v>
      </c>
      <c r="G86" s="182">
        <f t="shared" si="18"/>
        <v>5.3999999999999995</v>
      </c>
      <c r="H86" s="182">
        <f t="shared" si="19"/>
        <v>194.73684210526315</v>
      </c>
    </row>
    <row r="87" spans="1:8" ht="32.25" customHeight="1">
      <c r="A87" s="175"/>
      <c r="B87" s="180" t="s">
        <v>171</v>
      </c>
      <c r="C87" s="155"/>
      <c r="D87" s="170">
        <v>6.6</v>
      </c>
      <c r="E87" s="170">
        <v>4.9000000000000004</v>
      </c>
      <c r="F87" s="170"/>
      <c r="G87" s="182">
        <f t="shared" si="18"/>
        <v>-4.9000000000000004</v>
      </c>
      <c r="H87" s="182">
        <f t="shared" si="19"/>
        <v>0</v>
      </c>
    </row>
    <row r="88" spans="1:8" ht="25.5" customHeight="1">
      <c r="A88" s="179"/>
      <c r="B88" s="191" t="s">
        <v>173</v>
      </c>
      <c r="C88" s="181"/>
      <c r="D88" s="170">
        <v>0.3</v>
      </c>
      <c r="E88" s="170">
        <v>4.5</v>
      </c>
      <c r="F88" s="170"/>
      <c r="G88" s="182">
        <f t="shared" si="18"/>
        <v>-4.5</v>
      </c>
      <c r="H88" s="182">
        <f t="shared" si="19"/>
        <v>0</v>
      </c>
    </row>
    <row r="89" spans="1:8" ht="29.25" customHeight="1">
      <c r="A89" s="179"/>
      <c r="B89" s="217" t="s">
        <v>174</v>
      </c>
      <c r="C89" s="181"/>
      <c r="D89" s="170">
        <v>7.3</v>
      </c>
      <c r="E89" s="170">
        <v>776</v>
      </c>
      <c r="F89" s="170"/>
      <c r="G89" s="182">
        <f t="shared" si="18"/>
        <v>-776</v>
      </c>
      <c r="H89" s="182">
        <f t="shared" si="19"/>
        <v>0</v>
      </c>
    </row>
    <row r="90" spans="1:8" ht="28.5" customHeight="1">
      <c r="A90" s="179"/>
      <c r="B90" s="219" t="s">
        <v>175</v>
      </c>
      <c r="C90" s="181"/>
      <c r="D90" s="170">
        <v>0.9</v>
      </c>
      <c r="E90" s="170">
        <v>38.700000000000003</v>
      </c>
      <c r="F90" s="170">
        <f>0.1+0.6+2.5+0.1</f>
        <v>3.3000000000000003</v>
      </c>
      <c r="G90" s="182">
        <f t="shared" si="18"/>
        <v>-35.400000000000006</v>
      </c>
      <c r="H90" s="182">
        <f t="shared" si="19"/>
        <v>8.5271317829457356</v>
      </c>
    </row>
    <row r="91" spans="1:8" ht="30.75" customHeight="1">
      <c r="A91" s="179"/>
      <c r="B91" s="220" t="s">
        <v>176</v>
      </c>
      <c r="C91" s="181"/>
      <c r="D91" s="170">
        <v>19.899999999999999</v>
      </c>
      <c r="E91" s="170">
        <v>775</v>
      </c>
      <c r="F91" s="170">
        <f>8.1-5.2+1+5.2</f>
        <v>9.1</v>
      </c>
      <c r="G91" s="182">
        <f t="shared" si="18"/>
        <v>-765.9</v>
      </c>
      <c r="H91" s="182">
        <f t="shared" si="19"/>
        <v>1.1741935483870969</v>
      </c>
    </row>
    <row r="92" spans="1:8" ht="25.5" customHeight="1">
      <c r="A92" s="179"/>
      <c r="B92" s="219" t="s">
        <v>177</v>
      </c>
      <c r="C92" s="181"/>
      <c r="D92" s="170">
        <v>0.7</v>
      </c>
      <c r="E92" s="170">
        <v>1.5</v>
      </c>
      <c r="F92" s="170"/>
      <c r="G92" s="182">
        <f t="shared" si="18"/>
        <v>-1.5</v>
      </c>
      <c r="H92" s="182">
        <f t="shared" si="19"/>
        <v>0</v>
      </c>
    </row>
    <row r="93" spans="1:8" ht="28.5" customHeight="1">
      <c r="A93" s="179"/>
      <c r="B93" s="219" t="s">
        <v>262</v>
      </c>
      <c r="C93" s="181"/>
      <c r="D93" s="170">
        <v>2.6</v>
      </c>
      <c r="E93" s="170">
        <v>2</v>
      </c>
      <c r="F93" s="170">
        <v>1.6</v>
      </c>
      <c r="G93" s="182">
        <f t="shared" si="18"/>
        <v>-0.39999999999999991</v>
      </c>
      <c r="H93" s="182">
        <f t="shared" si="19"/>
        <v>80</v>
      </c>
    </row>
    <row r="94" spans="1:8" ht="27.75" customHeight="1">
      <c r="A94" s="179"/>
      <c r="B94" s="219" t="s">
        <v>260</v>
      </c>
      <c r="C94" s="181"/>
      <c r="D94" s="170">
        <v>2.6</v>
      </c>
      <c r="E94" s="170"/>
      <c r="F94" s="170"/>
      <c r="G94" s="182">
        <f t="shared" si="18"/>
        <v>0</v>
      </c>
      <c r="H94" s="185" t="e">
        <f t="shared" si="19"/>
        <v>#DIV/0!</v>
      </c>
    </row>
    <row r="95" spans="1:8" ht="27.75" customHeight="1">
      <c r="A95" s="179"/>
      <c r="B95" s="219" t="s">
        <v>285</v>
      </c>
      <c r="C95" s="181"/>
      <c r="D95" s="170">
        <v>4</v>
      </c>
      <c r="E95" s="170"/>
      <c r="F95" s="170"/>
      <c r="G95" s="182">
        <f t="shared" si="18"/>
        <v>0</v>
      </c>
      <c r="H95" s="185" t="e">
        <f t="shared" si="19"/>
        <v>#DIV/0!</v>
      </c>
    </row>
    <row r="96" spans="1:8" ht="28.5" customHeight="1">
      <c r="A96" s="179"/>
      <c r="B96" s="219" t="s">
        <v>259</v>
      </c>
      <c r="C96" s="181"/>
      <c r="D96" s="170">
        <v>1.7</v>
      </c>
      <c r="E96" s="170"/>
      <c r="F96" s="170"/>
      <c r="G96" s="182">
        <f t="shared" si="18"/>
        <v>0</v>
      </c>
      <c r="H96" s="185" t="e">
        <f t="shared" si="19"/>
        <v>#DIV/0!</v>
      </c>
    </row>
    <row r="97" spans="1:8" ht="32.25" customHeight="1">
      <c r="A97" s="179"/>
      <c r="B97" s="218" t="s">
        <v>178</v>
      </c>
      <c r="C97" s="181"/>
      <c r="D97" s="170">
        <v>6.8</v>
      </c>
      <c r="E97" s="170">
        <v>7</v>
      </c>
      <c r="F97" s="170"/>
      <c r="G97" s="182">
        <f t="shared" si="18"/>
        <v>-7</v>
      </c>
      <c r="H97" s="182">
        <f t="shared" si="19"/>
        <v>0</v>
      </c>
    </row>
    <row r="98" spans="1:8" ht="26.25" customHeight="1">
      <c r="A98" s="206" t="s">
        <v>380</v>
      </c>
      <c r="B98" s="221" t="s">
        <v>91</v>
      </c>
      <c r="C98" s="222">
        <v>1020</v>
      </c>
      <c r="D98" s="174">
        <f>D99+D103</f>
        <v>85.300000000000011</v>
      </c>
      <c r="E98" s="174">
        <f>E99+E103</f>
        <v>49.2</v>
      </c>
      <c r="F98" s="174">
        <f>F99+F103</f>
        <v>42.9</v>
      </c>
      <c r="G98" s="196">
        <f t="shared" si="18"/>
        <v>-6.3000000000000043</v>
      </c>
      <c r="H98" s="196">
        <f t="shared" si="19"/>
        <v>87.195121951219505</v>
      </c>
    </row>
    <row r="99" spans="1:8" ht="31.5" customHeight="1">
      <c r="A99" s="175" t="s">
        <v>381</v>
      </c>
      <c r="B99" s="211" t="s">
        <v>106</v>
      </c>
      <c r="C99" s="177">
        <v>1021</v>
      </c>
      <c r="D99" s="165">
        <f>SUM(D100:D102)</f>
        <v>47.2</v>
      </c>
      <c r="E99" s="165">
        <f>SUM(E100:E102)</f>
        <v>39</v>
      </c>
      <c r="F99" s="165">
        <f>SUM(F100:F102)</f>
        <v>12.7</v>
      </c>
      <c r="G99" s="166">
        <f t="shared" si="18"/>
        <v>-26.3</v>
      </c>
      <c r="H99" s="166">
        <f t="shared" si="19"/>
        <v>32.564102564102562</v>
      </c>
    </row>
    <row r="100" spans="1:8" ht="40.5" customHeight="1">
      <c r="A100" s="206"/>
      <c r="B100" s="180" t="s">
        <v>164</v>
      </c>
      <c r="C100" s="181"/>
      <c r="D100" s="170">
        <v>33.5</v>
      </c>
      <c r="E100" s="170">
        <v>39</v>
      </c>
      <c r="F100" s="170">
        <f>0.5+0.4+0.9</f>
        <v>1.8</v>
      </c>
      <c r="G100" s="182">
        <f t="shared" si="18"/>
        <v>-37.200000000000003</v>
      </c>
      <c r="H100" s="182">
        <f t="shared" si="19"/>
        <v>4.6153846153846159</v>
      </c>
    </row>
    <row r="101" spans="1:8" ht="26.25" customHeight="1">
      <c r="A101" s="206"/>
      <c r="B101" s="180" t="s">
        <v>417</v>
      </c>
      <c r="C101" s="181"/>
      <c r="D101" s="170">
        <v>8</v>
      </c>
      <c r="E101" s="170"/>
      <c r="F101" s="170"/>
      <c r="G101" s="182">
        <f t="shared" si="18"/>
        <v>0</v>
      </c>
      <c r="H101" s="185" t="e">
        <f t="shared" si="19"/>
        <v>#DIV/0!</v>
      </c>
    </row>
    <row r="102" spans="1:8" ht="23.25" customHeight="1">
      <c r="A102" s="206"/>
      <c r="B102" s="212" t="s">
        <v>165</v>
      </c>
      <c r="C102" s="181"/>
      <c r="D102" s="170">
        <v>5.7</v>
      </c>
      <c r="E102" s="170"/>
      <c r="F102" s="170">
        <f>4.2+5.5+1.2</f>
        <v>10.899999999999999</v>
      </c>
      <c r="G102" s="182">
        <f t="shared" si="18"/>
        <v>10.899999999999999</v>
      </c>
      <c r="H102" s="185" t="e">
        <f t="shared" si="19"/>
        <v>#DIV/0!</v>
      </c>
    </row>
    <row r="103" spans="1:8" ht="27" customHeight="1">
      <c r="A103" s="175" t="s">
        <v>500</v>
      </c>
      <c r="B103" s="223" t="s">
        <v>179</v>
      </c>
      <c r="C103" s="177">
        <v>1025</v>
      </c>
      <c r="D103" s="165">
        <f>SUM(D104:D113)</f>
        <v>38.1</v>
      </c>
      <c r="E103" s="165">
        <f>SUM(E105:E113)</f>
        <v>10.199999999999999</v>
      </c>
      <c r="F103" s="165">
        <f>SUM(F105:F113)</f>
        <v>30.2</v>
      </c>
      <c r="G103" s="182">
        <f t="shared" si="18"/>
        <v>20</v>
      </c>
      <c r="H103" s="182">
        <f t="shared" si="19"/>
        <v>296.07843137254906</v>
      </c>
    </row>
    <row r="104" spans="1:8" ht="27" customHeight="1">
      <c r="A104" s="175"/>
      <c r="B104" s="212" t="s">
        <v>147</v>
      </c>
      <c r="C104" s="177"/>
      <c r="D104" s="170">
        <v>2.9</v>
      </c>
      <c r="E104" s="165"/>
      <c r="F104" s="165"/>
      <c r="G104" s="182">
        <f t="shared" si="18"/>
        <v>0</v>
      </c>
      <c r="H104" s="185" t="e">
        <f t="shared" si="19"/>
        <v>#DIV/0!</v>
      </c>
    </row>
    <row r="105" spans="1:8" ht="24.75" customHeight="1">
      <c r="A105" s="190"/>
      <c r="B105" s="224" t="s">
        <v>155</v>
      </c>
      <c r="C105" s="181"/>
      <c r="D105" s="170">
        <v>2.8</v>
      </c>
      <c r="E105" s="170">
        <v>10.199999999999999</v>
      </c>
      <c r="F105" s="170">
        <f>6+8.9+10.6</f>
        <v>25.5</v>
      </c>
      <c r="G105" s="182">
        <f t="shared" si="18"/>
        <v>15.3</v>
      </c>
      <c r="H105" s="182">
        <f t="shared" si="19"/>
        <v>250</v>
      </c>
    </row>
    <row r="106" spans="1:8" ht="24.75" customHeight="1">
      <c r="A106" s="190"/>
      <c r="B106" s="224" t="s">
        <v>168</v>
      </c>
      <c r="C106" s="181"/>
      <c r="D106" s="170">
        <v>16.899999999999999</v>
      </c>
      <c r="E106" s="170"/>
      <c r="F106" s="170"/>
      <c r="G106" s="182">
        <f t="shared" si="18"/>
        <v>0</v>
      </c>
      <c r="H106" s="185" t="e">
        <f t="shared" si="19"/>
        <v>#DIV/0!</v>
      </c>
    </row>
    <row r="107" spans="1:8" ht="24.75" customHeight="1">
      <c r="A107" s="190"/>
      <c r="B107" s="224" t="s">
        <v>153</v>
      </c>
      <c r="C107" s="181"/>
      <c r="D107" s="170">
        <v>6.5</v>
      </c>
      <c r="E107" s="170"/>
      <c r="F107" s="170"/>
      <c r="G107" s="182">
        <f t="shared" ref="G107:G170" si="20">F107-E107</f>
        <v>0</v>
      </c>
      <c r="H107" s="185" t="e">
        <f t="shared" ref="H107:H170" si="21">(F107/E107)*100</f>
        <v>#DIV/0!</v>
      </c>
    </row>
    <row r="108" spans="1:8" ht="24.75" customHeight="1">
      <c r="A108" s="190"/>
      <c r="B108" s="191" t="s">
        <v>161</v>
      </c>
      <c r="C108" s="181"/>
      <c r="D108" s="170">
        <v>0.6</v>
      </c>
      <c r="E108" s="170"/>
      <c r="F108" s="170">
        <f>1+1+0.7</f>
        <v>2.7</v>
      </c>
      <c r="G108" s="182">
        <f t="shared" si="20"/>
        <v>2.7</v>
      </c>
      <c r="H108" s="185" t="e">
        <f t="shared" si="21"/>
        <v>#DIV/0!</v>
      </c>
    </row>
    <row r="109" spans="1:8" ht="24.75" customHeight="1">
      <c r="A109" s="190"/>
      <c r="B109" s="180" t="s">
        <v>154</v>
      </c>
      <c r="C109" s="181"/>
      <c r="D109" s="170">
        <v>4.0999999999999996</v>
      </c>
      <c r="E109" s="170"/>
      <c r="F109" s="170"/>
      <c r="G109" s="182">
        <f t="shared" si="20"/>
        <v>0</v>
      </c>
      <c r="H109" s="185" t="e">
        <f t="shared" si="21"/>
        <v>#DIV/0!</v>
      </c>
    </row>
    <row r="110" spans="1:8" ht="24.75" customHeight="1">
      <c r="A110" s="190"/>
      <c r="B110" s="180" t="s">
        <v>173</v>
      </c>
      <c r="C110" s="181"/>
      <c r="D110" s="170">
        <v>3.4</v>
      </c>
      <c r="E110" s="170"/>
      <c r="F110" s="170"/>
      <c r="G110" s="182">
        <f t="shared" si="20"/>
        <v>0</v>
      </c>
      <c r="H110" s="185" t="e">
        <f t="shared" si="21"/>
        <v>#DIV/0!</v>
      </c>
    </row>
    <row r="111" spans="1:8" ht="24.75" customHeight="1">
      <c r="A111" s="190"/>
      <c r="B111" s="180" t="s">
        <v>418</v>
      </c>
      <c r="C111" s="181"/>
      <c r="D111" s="170">
        <v>0.7</v>
      </c>
      <c r="E111" s="170"/>
      <c r="F111" s="170"/>
      <c r="G111" s="182">
        <f t="shared" si="20"/>
        <v>0</v>
      </c>
      <c r="H111" s="185" t="e">
        <f t="shared" si="21"/>
        <v>#DIV/0!</v>
      </c>
    </row>
    <row r="112" spans="1:8" ht="24.75" customHeight="1">
      <c r="A112" s="190"/>
      <c r="B112" s="180" t="s">
        <v>262</v>
      </c>
      <c r="C112" s="181"/>
      <c r="D112" s="170">
        <v>0.2</v>
      </c>
      <c r="E112" s="170"/>
      <c r="F112" s="170"/>
      <c r="G112" s="182">
        <f t="shared" si="20"/>
        <v>0</v>
      </c>
      <c r="H112" s="185" t="e">
        <f t="shared" si="21"/>
        <v>#DIV/0!</v>
      </c>
    </row>
    <row r="113" spans="1:8" ht="24.75" customHeight="1">
      <c r="A113" s="190"/>
      <c r="B113" s="224" t="s">
        <v>203</v>
      </c>
      <c r="C113" s="181"/>
      <c r="D113" s="170"/>
      <c r="E113" s="170"/>
      <c r="F113" s="170">
        <f>0.6+0.6+0.8</f>
        <v>2</v>
      </c>
      <c r="G113" s="182">
        <f t="shared" si="20"/>
        <v>2</v>
      </c>
      <c r="H113" s="185" t="e">
        <f t="shared" si="21"/>
        <v>#DIV/0!</v>
      </c>
    </row>
    <row r="114" spans="1:8" ht="24.75" customHeight="1">
      <c r="A114" s="206" t="s">
        <v>501</v>
      </c>
      <c r="B114" s="225" t="s">
        <v>92</v>
      </c>
      <c r="C114" s="222">
        <v>1030</v>
      </c>
      <c r="D114" s="174">
        <f>D115</f>
        <v>83.5</v>
      </c>
      <c r="E114" s="174">
        <f>E115</f>
        <v>86.8</v>
      </c>
      <c r="F114" s="174">
        <f>F115</f>
        <v>12.4</v>
      </c>
      <c r="G114" s="196">
        <f t="shared" si="20"/>
        <v>-74.399999999999991</v>
      </c>
      <c r="H114" s="196">
        <f t="shared" si="21"/>
        <v>14.285714285714288</v>
      </c>
    </row>
    <row r="115" spans="1:8" ht="24.75" customHeight="1">
      <c r="A115" s="175" t="s">
        <v>502</v>
      </c>
      <c r="B115" s="202" t="s">
        <v>92</v>
      </c>
      <c r="C115" s="186">
        <v>1035</v>
      </c>
      <c r="D115" s="165">
        <f>SUM(D116:D118)</f>
        <v>83.5</v>
      </c>
      <c r="E115" s="165">
        <f>SUM(E116:E117)</f>
        <v>86.8</v>
      </c>
      <c r="F115" s="165">
        <f>SUM(F116:F117)</f>
        <v>12.4</v>
      </c>
      <c r="G115" s="166">
        <f t="shared" si="20"/>
        <v>-74.399999999999991</v>
      </c>
      <c r="H115" s="166">
        <f t="shared" si="21"/>
        <v>14.285714285714288</v>
      </c>
    </row>
    <row r="116" spans="1:8" ht="24.75" customHeight="1">
      <c r="A116" s="226"/>
      <c r="B116" s="227" t="s">
        <v>539</v>
      </c>
      <c r="C116" s="181"/>
      <c r="D116" s="170">
        <v>74.599999999999994</v>
      </c>
      <c r="E116" s="170">
        <v>73.8</v>
      </c>
      <c r="F116" s="170"/>
      <c r="G116" s="182">
        <f t="shared" si="20"/>
        <v>-73.8</v>
      </c>
      <c r="H116" s="182">
        <f t="shared" si="21"/>
        <v>0</v>
      </c>
    </row>
    <row r="117" spans="1:8" ht="24.75" customHeight="1">
      <c r="A117" s="226"/>
      <c r="B117" s="227" t="s">
        <v>172</v>
      </c>
      <c r="C117" s="181"/>
      <c r="D117" s="170">
        <v>7.7</v>
      </c>
      <c r="E117" s="170">
        <v>13</v>
      </c>
      <c r="F117" s="170">
        <v>12.4</v>
      </c>
      <c r="G117" s="182">
        <f t="shared" si="20"/>
        <v>-0.59999999999999964</v>
      </c>
      <c r="H117" s="182">
        <f t="shared" si="21"/>
        <v>95.384615384615387</v>
      </c>
    </row>
    <row r="118" spans="1:8" ht="24.75" customHeight="1">
      <c r="A118" s="226"/>
      <c r="B118" s="227" t="s">
        <v>287</v>
      </c>
      <c r="C118" s="181"/>
      <c r="D118" s="170">
        <v>1.2</v>
      </c>
      <c r="E118" s="170"/>
      <c r="F118" s="170"/>
      <c r="G118" s="182">
        <f t="shared" si="20"/>
        <v>0</v>
      </c>
      <c r="H118" s="185" t="e">
        <f t="shared" si="21"/>
        <v>#DIV/0!</v>
      </c>
    </row>
    <row r="119" spans="1:8" ht="24.75" customHeight="1">
      <c r="A119" s="226" t="s">
        <v>248</v>
      </c>
      <c r="B119" s="202" t="s">
        <v>180</v>
      </c>
      <c r="C119" s="160"/>
      <c r="D119" s="165">
        <f>D121+D140</f>
        <v>303.2</v>
      </c>
      <c r="E119" s="165">
        <f>E121</f>
        <v>450</v>
      </c>
      <c r="F119" s="165">
        <f>F121</f>
        <v>48.900000000000006</v>
      </c>
      <c r="G119" s="166">
        <f t="shared" si="20"/>
        <v>-401.1</v>
      </c>
      <c r="H119" s="166">
        <f t="shared" si="21"/>
        <v>10.866666666666667</v>
      </c>
    </row>
    <row r="120" spans="1:8" ht="26.25" customHeight="1">
      <c r="A120" s="179"/>
      <c r="B120" s="169" t="s">
        <v>85</v>
      </c>
      <c r="C120" s="177"/>
      <c r="D120" s="170"/>
      <c r="E120" s="170"/>
      <c r="F120" s="170"/>
      <c r="G120" s="166"/>
      <c r="H120" s="166"/>
    </row>
    <row r="121" spans="1:8" ht="27" customHeight="1">
      <c r="A121" s="206" t="s">
        <v>249</v>
      </c>
      <c r="B121" s="172" t="s">
        <v>89</v>
      </c>
      <c r="C121" s="222">
        <v>1010</v>
      </c>
      <c r="D121" s="174">
        <f>D122+D128+D129+D130</f>
        <v>299.89999999999998</v>
      </c>
      <c r="E121" s="174">
        <f>E122+E128+E129+E130</f>
        <v>450</v>
      </c>
      <c r="F121" s="174">
        <f>F122+F128+F129+F130</f>
        <v>48.900000000000006</v>
      </c>
      <c r="G121" s="196">
        <f t="shared" si="20"/>
        <v>-401.1</v>
      </c>
      <c r="H121" s="196">
        <f t="shared" si="21"/>
        <v>10.866666666666667</v>
      </c>
    </row>
    <row r="122" spans="1:8" ht="24.75" customHeight="1">
      <c r="A122" s="226" t="s">
        <v>250</v>
      </c>
      <c r="B122" s="176" t="s">
        <v>106</v>
      </c>
      <c r="C122" s="177">
        <v>1011</v>
      </c>
      <c r="D122" s="165">
        <f>SUM(D123:D127)</f>
        <v>238.39999999999998</v>
      </c>
      <c r="E122" s="165">
        <f>SUM(E123:E127)</f>
        <v>133.5</v>
      </c>
      <c r="F122" s="165">
        <f>SUM(F123:F127)</f>
        <v>6.8000000000000007</v>
      </c>
      <c r="G122" s="166">
        <f t="shared" si="20"/>
        <v>-126.7</v>
      </c>
      <c r="H122" s="166">
        <f t="shared" si="21"/>
        <v>5.093632958801499</v>
      </c>
    </row>
    <row r="123" spans="1:8" ht="24.75" customHeight="1">
      <c r="A123" s="171"/>
      <c r="B123" s="180" t="s">
        <v>141</v>
      </c>
      <c r="C123" s="181"/>
      <c r="D123" s="170">
        <v>95.1</v>
      </c>
      <c r="E123" s="170">
        <v>119.6</v>
      </c>
      <c r="F123" s="170">
        <v>1.9</v>
      </c>
      <c r="G123" s="182">
        <f t="shared" si="20"/>
        <v>-117.69999999999999</v>
      </c>
      <c r="H123" s="182">
        <f t="shared" si="21"/>
        <v>1.5886287625418061</v>
      </c>
    </row>
    <row r="124" spans="1:8" ht="24.75" customHeight="1">
      <c r="A124" s="171"/>
      <c r="B124" s="180" t="s">
        <v>288</v>
      </c>
      <c r="C124" s="181"/>
      <c r="D124" s="170">
        <v>49.8</v>
      </c>
      <c r="E124" s="170"/>
      <c r="F124" s="170"/>
      <c r="G124" s="182">
        <f t="shared" si="20"/>
        <v>0</v>
      </c>
      <c r="H124" s="182"/>
    </row>
    <row r="125" spans="1:8" ht="24.75" customHeight="1">
      <c r="A125" s="171"/>
      <c r="B125" s="180" t="s">
        <v>181</v>
      </c>
      <c r="C125" s="181"/>
      <c r="D125" s="170">
        <v>5.8</v>
      </c>
      <c r="E125" s="170">
        <v>7.3</v>
      </c>
      <c r="F125" s="170">
        <v>4.5</v>
      </c>
      <c r="G125" s="182">
        <f t="shared" si="20"/>
        <v>-2.8</v>
      </c>
      <c r="H125" s="182">
        <f t="shared" si="21"/>
        <v>61.643835616438359</v>
      </c>
    </row>
    <row r="126" spans="1:8" ht="37.5" customHeight="1">
      <c r="A126" s="171"/>
      <c r="B126" s="180" t="s">
        <v>164</v>
      </c>
      <c r="C126" s="181"/>
      <c r="D126" s="170">
        <v>1</v>
      </c>
      <c r="E126" s="170">
        <v>6.6</v>
      </c>
      <c r="F126" s="170">
        <v>0.4</v>
      </c>
      <c r="G126" s="182">
        <f t="shared" si="20"/>
        <v>-6.1999999999999993</v>
      </c>
      <c r="H126" s="182">
        <f t="shared" si="21"/>
        <v>6.0606060606060614</v>
      </c>
    </row>
    <row r="127" spans="1:8" ht="24" customHeight="1">
      <c r="A127" s="171"/>
      <c r="B127" s="180" t="s">
        <v>417</v>
      </c>
      <c r="C127" s="181"/>
      <c r="D127" s="170">
        <v>86.7</v>
      </c>
      <c r="E127" s="170"/>
      <c r="F127" s="170"/>
      <c r="G127" s="182">
        <f t="shared" si="20"/>
        <v>0</v>
      </c>
      <c r="H127" s="182"/>
    </row>
    <row r="128" spans="1:8" ht="24.75" customHeight="1">
      <c r="A128" s="175" t="s">
        <v>382</v>
      </c>
      <c r="B128" s="176" t="s">
        <v>2</v>
      </c>
      <c r="C128" s="177">
        <v>1012</v>
      </c>
      <c r="D128" s="165"/>
      <c r="E128" s="165">
        <v>246</v>
      </c>
      <c r="F128" s="165">
        <v>25.5</v>
      </c>
      <c r="G128" s="166">
        <f t="shared" si="20"/>
        <v>-220.5</v>
      </c>
      <c r="H128" s="166">
        <f t="shared" si="21"/>
        <v>10.365853658536585</v>
      </c>
    </row>
    <row r="129" spans="1:8" ht="24.75" customHeight="1">
      <c r="A129" s="175" t="s">
        <v>505</v>
      </c>
      <c r="B129" s="176" t="s">
        <v>3</v>
      </c>
      <c r="C129" s="177">
        <v>1013</v>
      </c>
      <c r="D129" s="165"/>
      <c r="E129" s="165">
        <v>52.9</v>
      </c>
      <c r="F129" s="165">
        <v>5.2</v>
      </c>
      <c r="G129" s="166">
        <f t="shared" si="20"/>
        <v>-47.699999999999996</v>
      </c>
      <c r="H129" s="166">
        <f t="shared" si="21"/>
        <v>9.8298676748582245</v>
      </c>
    </row>
    <row r="130" spans="1:8" ht="24.75" customHeight="1">
      <c r="A130" s="226" t="s">
        <v>506</v>
      </c>
      <c r="B130" s="228" t="s">
        <v>182</v>
      </c>
      <c r="C130" s="160">
        <v>1015</v>
      </c>
      <c r="D130" s="165">
        <f>SUM(D131:D139)</f>
        <v>61.5</v>
      </c>
      <c r="E130" s="165">
        <f>SUM(E131:E137)</f>
        <v>17.599999999999998</v>
      </c>
      <c r="F130" s="165">
        <f>SUM(F131:F137)</f>
        <v>11.400000000000002</v>
      </c>
      <c r="G130" s="166">
        <f t="shared" si="20"/>
        <v>-6.1999999999999957</v>
      </c>
      <c r="H130" s="166">
        <f t="shared" si="21"/>
        <v>64.772727272727295</v>
      </c>
    </row>
    <row r="131" spans="1:8" ht="24.75" customHeight="1">
      <c r="A131" s="229"/>
      <c r="B131" s="230" t="s">
        <v>183</v>
      </c>
      <c r="C131" s="155"/>
      <c r="D131" s="170">
        <v>1.5</v>
      </c>
      <c r="E131" s="170">
        <v>9</v>
      </c>
      <c r="F131" s="170"/>
      <c r="G131" s="182">
        <f t="shared" si="20"/>
        <v>-9</v>
      </c>
      <c r="H131" s="166">
        <f t="shared" si="21"/>
        <v>0</v>
      </c>
    </row>
    <row r="132" spans="1:8" ht="24.75" customHeight="1">
      <c r="A132" s="229"/>
      <c r="B132" s="230" t="s">
        <v>261</v>
      </c>
      <c r="C132" s="155"/>
      <c r="D132" s="170">
        <v>12</v>
      </c>
      <c r="E132" s="170">
        <v>2.1</v>
      </c>
      <c r="F132" s="170"/>
      <c r="G132" s="182">
        <f t="shared" si="20"/>
        <v>-2.1</v>
      </c>
      <c r="H132" s="166">
        <f t="shared" si="21"/>
        <v>0</v>
      </c>
    </row>
    <row r="133" spans="1:8" ht="24.75" customHeight="1">
      <c r="A133" s="229"/>
      <c r="B133" s="180" t="s">
        <v>155</v>
      </c>
      <c r="C133" s="155"/>
      <c r="D133" s="170">
        <v>0.2</v>
      </c>
      <c r="E133" s="170">
        <v>4.8</v>
      </c>
      <c r="F133" s="170">
        <v>0.2</v>
      </c>
      <c r="G133" s="182">
        <f t="shared" si="20"/>
        <v>-4.5999999999999996</v>
      </c>
      <c r="H133" s="182">
        <f t="shared" si="21"/>
        <v>4.166666666666667</v>
      </c>
    </row>
    <row r="134" spans="1:8" ht="24.75" customHeight="1">
      <c r="A134" s="229"/>
      <c r="B134" s="180" t="s">
        <v>184</v>
      </c>
      <c r="C134" s="155"/>
      <c r="D134" s="170">
        <v>0.4</v>
      </c>
      <c r="E134" s="170">
        <v>1.7</v>
      </c>
      <c r="F134" s="170"/>
      <c r="G134" s="182">
        <f t="shared" si="20"/>
        <v>-1.7</v>
      </c>
      <c r="H134" s="166">
        <f t="shared" si="21"/>
        <v>0</v>
      </c>
    </row>
    <row r="135" spans="1:8" ht="24.75" customHeight="1">
      <c r="A135" s="229"/>
      <c r="B135" s="180" t="s">
        <v>174</v>
      </c>
      <c r="C135" s="155"/>
      <c r="D135" s="170"/>
      <c r="E135" s="170"/>
      <c r="F135" s="170">
        <f>11.3-7.5</f>
        <v>3.8000000000000007</v>
      </c>
      <c r="G135" s="182">
        <f t="shared" si="20"/>
        <v>3.8000000000000007</v>
      </c>
      <c r="H135" s="187" t="e">
        <f t="shared" si="21"/>
        <v>#DIV/0!</v>
      </c>
    </row>
    <row r="136" spans="1:8" ht="24.75" customHeight="1">
      <c r="A136" s="229"/>
      <c r="B136" s="180" t="s">
        <v>175</v>
      </c>
      <c r="C136" s="155"/>
      <c r="D136" s="170">
        <v>1.9</v>
      </c>
      <c r="E136" s="170"/>
      <c r="F136" s="170">
        <v>1.2</v>
      </c>
      <c r="G136" s="182">
        <f t="shared" si="20"/>
        <v>1.2</v>
      </c>
      <c r="H136" s="187" t="e">
        <f t="shared" si="21"/>
        <v>#DIV/0!</v>
      </c>
    </row>
    <row r="137" spans="1:8" ht="24.75" customHeight="1">
      <c r="A137" s="229"/>
      <c r="B137" s="180" t="s">
        <v>176</v>
      </c>
      <c r="C137" s="155"/>
      <c r="D137" s="170"/>
      <c r="E137" s="170"/>
      <c r="F137" s="170">
        <v>6.2</v>
      </c>
      <c r="G137" s="182">
        <f t="shared" si="20"/>
        <v>6.2</v>
      </c>
      <c r="H137" s="187" t="e">
        <f t="shared" si="21"/>
        <v>#DIV/0!</v>
      </c>
    </row>
    <row r="138" spans="1:8" ht="24.75" customHeight="1">
      <c r="A138" s="229"/>
      <c r="B138" s="180" t="s">
        <v>259</v>
      </c>
      <c r="C138" s="155"/>
      <c r="D138" s="170">
        <v>0.6</v>
      </c>
      <c r="E138" s="170"/>
      <c r="F138" s="170"/>
      <c r="G138" s="166">
        <f t="shared" si="20"/>
        <v>0</v>
      </c>
      <c r="H138" s="187" t="e">
        <f t="shared" si="21"/>
        <v>#DIV/0!</v>
      </c>
    </row>
    <row r="139" spans="1:8" ht="24.75" customHeight="1">
      <c r="A139" s="229"/>
      <c r="B139" s="180" t="s">
        <v>218</v>
      </c>
      <c r="C139" s="155"/>
      <c r="D139" s="170">
        <v>44.9</v>
      </c>
      <c r="E139" s="170"/>
      <c r="F139" s="170"/>
      <c r="G139" s="166">
        <f t="shared" si="20"/>
        <v>0</v>
      </c>
      <c r="H139" s="187" t="e">
        <f t="shared" si="21"/>
        <v>#DIV/0!</v>
      </c>
    </row>
    <row r="140" spans="1:8" ht="24.75" customHeight="1">
      <c r="A140" s="206" t="s">
        <v>383</v>
      </c>
      <c r="B140" s="225" t="s">
        <v>92</v>
      </c>
      <c r="C140" s="222">
        <v>1030</v>
      </c>
      <c r="D140" s="174">
        <f>D141</f>
        <v>3.3</v>
      </c>
      <c r="E140" s="174"/>
      <c r="F140" s="174"/>
      <c r="G140" s="196">
        <f t="shared" si="20"/>
        <v>0</v>
      </c>
      <c r="H140" s="200" t="e">
        <f t="shared" si="21"/>
        <v>#DIV/0!</v>
      </c>
    </row>
    <row r="141" spans="1:8" ht="24.75" customHeight="1">
      <c r="A141" s="175" t="s">
        <v>384</v>
      </c>
      <c r="B141" s="202" t="s">
        <v>92</v>
      </c>
      <c r="C141" s="186">
        <v>1035</v>
      </c>
      <c r="D141" s="165">
        <f>D142</f>
        <v>3.3</v>
      </c>
      <c r="E141" s="165"/>
      <c r="F141" s="165"/>
      <c r="G141" s="166">
        <f t="shared" si="20"/>
        <v>0</v>
      </c>
      <c r="H141" s="187" t="e">
        <f t="shared" si="21"/>
        <v>#DIV/0!</v>
      </c>
    </row>
    <row r="142" spans="1:8" ht="27" customHeight="1">
      <c r="A142" s="226"/>
      <c r="B142" s="227" t="s">
        <v>284</v>
      </c>
      <c r="C142" s="181"/>
      <c r="D142" s="170">
        <v>3.3</v>
      </c>
      <c r="E142" s="170"/>
      <c r="F142" s="170"/>
      <c r="G142" s="166">
        <f t="shared" si="20"/>
        <v>0</v>
      </c>
      <c r="H142" s="187" t="e">
        <f t="shared" si="21"/>
        <v>#DIV/0!</v>
      </c>
    </row>
    <row r="143" spans="1:8" ht="46.5" customHeight="1">
      <c r="A143" s="226" t="s">
        <v>385</v>
      </c>
      <c r="B143" s="176" t="s">
        <v>557</v>
      </c>
      <c r="C143" s="160"/>
      <c r="D143" s="165">
        <f>D145+D157+D167</f>
        <v>130.30000000000001</v>
      </c>
      <c r="E143" s="165">
        <f>E145+E157+E167</f>
        <v>387</v>
      </c>
      <c r="F143" s="165">
        <f>F145+F157+F167</f>
        <v>186.49999999999997</v>
      </c>
      <c r="G143" s="166">
        <f t="shared" si="20"/>
        <v>-200.50000000000003</v>
      </c>
      <c r="H143" s="166">
        <f t="shared" si="21"/>
        <v>48.19121447028423</v>
      </c>
    </row>
    <row r="144" spans="1:8" ht="24.75" customHeight="1">
      <c r="A144" s="231"/>
      <c r="B144" s="169" t="s">
        <v>85</v>
      </c>
      <c r="C144" s="177"/>
      <c r="D144" s="170"/>
      <c r="E144" s="170"/>
      <c r="F144" s="170"/>
      <c r="G144" s="166"/>
      <c r="H144" s="166"/>
    </row>
    <row r="145" spans="1:8" ht="33.75" customHeight="1">
      <c r="A145" s="171" t="s">
        <v>386</v>
      </c>
      <c r="B145" s="172" t="s">
        <v>89</v>
      </c>
      <c r="C145" s="222">
        <v>1010</v>
      </c>
      <c r="D145" s="174">
        <f>D146+D150</f>
        <v>82</v>
      </c>
      <c r="E145" s="174">
        <f>E146+E150</f>
        <v>274</v>
      </c>
      <c r="F145" s="174">
        <f>F146+F150</f>
        <v>132.39999999999998</v>
      </c>
      <c r="G145" s="196">
        <f t="shared" si="20"/>
        <v>-141.60000000000002</v>
      </c>
      <c r="H145" s="196">
        <f t="shared" si="21"/>
        <v>48.321167883211672</v>
      </c>
    </row>
    <row r="146" spans="1:8" ht="30.75" customHeight="1">
      <c r="A146" s="175" t="s">
        <v>387</v>
      </c>
      <c r="B146" s="176" t="s">
        <v>106</v>
      </c>
      <c r="C146" s="177">
        <v>1011</v>
      </c>
      <c r="D146" s="165">
        <f>SUM(D147:D149)</f>
        <v>49.6</v>
      </c>
      <c r="E146" s="165">
        <f>SUM(E147:E148)</f>
        <v>179</v>
      </c>
      <c r="F146" s="165">
        <f>SUM(F147:F148)</f>
        <v>110.19999999999999</v>
      </c>
      <c r="G146" s="166">
        <f t="shared" si="20"/>
        <v>-68.800000000000011</v>
      </c>
      <c r="H146" s="166">
        <f t="shared" si="21"/>
        <v>61.564245810055866</v>
      </c>
    </row>
    <row r="147" spans="1:8" ht="24.75" customHeight="1">
      <c r="A147" s="206"/>
      <c r="B147" s="180" t="s">
        <v>165</v>
      </c>
      <c r="C147" s="181"/>
      <c r="D147" s="170"/>
      <c r="E147" s="170">
        <v>15</v>
      </c>
      <c r="F147" s="170">
        <f>2.1+5+10</f>
        <v>17.100000000000001</v>
      </c>
      <c r="G147" s="182">
        <f t="shared" si="20"/>
        <v>2.1000000000000014</v>
      </c>
      <c r="H147" s="182">
        <f t="shared" si="21"/>
        <v>114.00000000000001</v>
      </c>
    </row>
    <row r="148" spans="1:8" ht="36" customHeight="1">
      <c r="A148" s="206"/>
      <c r="B148" s="180" t="s">
        <v>164</v>
      </c>
      <c r="C148" s="181"/>
      <c r="D148" s="170">
        <v>42.9</v>
      </c>
      <c r="E148" s="170">
        <v>164</v>
      </c>
      <c r="F148" s="170">
        <f>13.1+40+25+15</f>
        <v>93.1</v>
      </c>
      <c r="G148" s="182">
        <f t="shared" si="20"/>
        <v>-70.900000000000006</v>
      </c>
      <c r="H148" s="182">
        <f t="shared" si="21"/>
        <v>56.768292682926827</v>
      </c>
    </row>
    <row r="149" spans="1:8" ht="24" customHeight="1">
      <c r="A149" s="206"/>
      <c r="B149" s="180" t="s">
        <v>417</v>
      </c>
      <c r="C149" s="181"/>
      <c r="D149" s="170">
        <v>6.7</v>
      </c>
      <c r="E149" s="170"/>
      <c r="F149" s="170"/>
      <c r="G149" s="182">
        <f t="shared" si="20"/>
        <v>0</v>
      </c>
      <c r="H149" s="185" t="e">
        <f t="shared" si="21"/>
        <v>#DIV/0!</v>
      </c>
    </row>
    <row r="150" spans="1:8" ht="24.75" customHeight="1">
      <c r="A150" s="175" t="s">
        <v>507</v>
      </c>
      <c r="B150" s="202" t="s">
        <v>185</v>
      </c>
      <c r="C150" s="186">
        <v>1015</v>
      </c>
      <c r="D150" s="165">
        <f>SUM(D151:D156)</f>
        <v>32.4</v>
      </c>
      <c r="E150" s="165">
        <f>E151+E152+E153+E154+E155</f>
        <v>95</v>
      </c>
      <c r="F150" s="165">
        <f>SUM(F151:F153)</f>
        <v>22.2</v>
      </c>
      <c r="G150" s="166">
        <f t="shared" si="20"/>
        <v>-72.8</v>
      </c>
      <c r="H150" s="166">
        <f t="shared" si="21"/>
        <v>23.368421052631579</v>
      </c>
    </row>
    <row r="151" spans="1:8" ht="24.75" customHeight="1">
      <c r="A151" s="175"/>
      <c r="B151" s="180" t="s">
        <v>419</v>
      </c>
      <c r="C151" s="181"/>
      <c r="D151" s="170">
        <v>10.1</v>
      </c>
      <c r="E151" s="170"/>
      <c r="F151" s="170">
        <f>6+3.5</f>
        <v>9.5</v>
      </c>
      <c r="G151" s="182">
        <f t="shared" si="20"/>
        <v>9.5</v>
      </c>
      <c r="H151" s="185" t="e">
        <f t="shared" si="21"/>
        <v>#DIV/0!</v>
      </c>
    </row>
    <row r="152" spans="1:8" ht="24.75" customHeight="1">
      <c r="A152" s="175"/>
      <c r="B152" s="180" t="s">
        <v>174</v>
      </c>
      <c r="C152" s="181"/>
      <c r="D152" s="170">
        <v>0</v>
      </c>
      <c r="E152" s="170"/>
      <c r="F152" s="170">
        <v>7.5</v>
      </c>
      <c r="G152" s="182">
        <f t="shared" si="20"/>
        <v>7.5</v>
      </c>
      <c r="H152" s="185" t="e">
        <f t="shared" si="21"/>
        <v>#DIV/0!</v>
      </c>
    </row>
    <row r="153" spans="1:8" ht="24.75" customHeight="1">
      <c r="A153" s="175"/>
      <c r="B153" s="180" t="s">
        <v>176</v>
      </c>
      <c r="C153" s="181"/>
      <c r="D153" s="170">
        <v>0</v>
      </c>
      <c r="E153" s="170"/>
      <c r="F153" s="170">
        <v>5.2</v>
      </c>
      <c r="G153" s="182">
        <f t="shared" si="20"/>
        <v>5.2</v>
      </c>
      <c r="H153" s="185" t="e">
        <f t="shared" si="21"/>
        <v>#DIV/0!</v>
      </c>
    </row>
    <row r="154" spans="1:8" ht="24.75" customHeight="1">
      <c r="A154" s="175"/>
      <c r="B154" s="180" t="s">
        <v>279</v>
      </c>
      <c r="C154" s="181"/>
      <c r="D154" s="170">
        <v>5.6</v>
      </c>
      <c r="E154" s="170">
        <v>5</v>
      </c>
      <c r="F154" s="170"/>
      <c r="G154" s="182">
        <f t="shared" si="20"/>
        <v>-5</v>
      </c>
      <c r="H154" s="182">
        <f t="shared" si="21"/>
        <v>0</v>
      </c>
    </row>
    <row r="155" spans="1:8" ht="24.75" customHeight="1">
      <c r="A155" s="175"/>
      <c r="B155" s="180" t="s">
        <v>218</v>
      </c>
      <c r="C155" s="181"/>
      <c r="D155" s="170">
        <v>0</v>
      </c>
      <c r="E155" s="170">
        <v>90</v>
      </c>
      <c r="F155" s="170"/>
      <c r="G155" s="182">
        <f t="shared" si="20"/>
        <v>-90</v>
      </c>
      <c r="H155" s="182">
        <f t="shared" si="21"/>
        <v>0</v>
      </c>
    </row>
    <row r="156" spans="1:8" ht="24.75" customHeight="1">
      <c r="B156" s="180" t="s">
        <v>289</v>
      </c>
      <c r="D156" s="170">
        <v>16.7</v>
      </c>
      <c r="E156" s="170">
        <v>0</v>
      </c>
      <c r="F156" s="170"/>
      <c r="G156" s="182">
        <f t="shared" si="20"/>
        <v>0</v>
      </c>
      <c r="H156" s="185" t="e">
        <f t="shared" si="21"/>
        <v>#DIV/0!</v>
      </c>
    </row>
    <row r="157" spans="1:8" ht="24.75" customHeight="1">
      <c r="A157" s="171" t="s">
        <v>503</v>
      </c>
      <c r="B157" s="199" t="s">
        <v>91</v>
      </c>
      <c r="C157" s="222">
        <v>1020</v>
      </c>
      <c r="D157" s="174">
        <f>D158</f>
        <v>46.400000000000006</v>
      </c>
      <c r="E157" s="174">
        <f>E158</f>
        <v>46</v>
      </c>
      <c r="F157" s="174">
        <f>F158</f>
        <v>53.699999999999996</v>
      </c>
      <c r="G157" s="196">
        <f t="shared" si="20"/>
        <v>7.6999999999999957</v>
      </c>
      <c r="H157" s="196">
        <f t="shared" si="21"/>
        <v>116.7391304347826</v>
      </c>
    </row>
    <row r="158" spans="1:8" ht="24.75" customHeight="1">
      <c r="A158" s="175" t="s">
        <v>508</v>
      </c>
      <c r="B158" s="223" t="s">
        <v>179</v>
      </c>
      <c r="C158" s="177">
        <v>1025</v>
      </c>
      <c r="D158" s="165">
        <f>SUM(D159:D166)</f>
        <v>46.400000000000006</v>
      </c>
      <c r="E158" s="165">
        <f>SUM(E159:E166)</f>
        <v>46</v>
      </c>
      <c r="F158" s="165">
        <f>SUM(F159:F166)</f>
        <v>53.699999999999996</v>
      </c>
      <c r="G158" s="166">
        <f t="shared" si="20"/>
        <v>7.6999999999999957</v>
      </c>
      <c r="H158" s="166">
        <f t="shared" si="21"/>
        <v>116.7391304347826</v>
      </c>
    </row>
    <row r="159" spans="1:8" ht="39.75" customHeight="1">
      <c r="A159" s="175"/>
      <c r="B159" s="212" t="s">
        <v>168</v>
      </c>
      <c r="C159" s="181"/>
      <c r="D159" s="170">
        <v>12.4</v>
      </c>
      <c r="E159" s="170">
        <v>21</v>
      </c>
      <c r="F159" s="170"/>
      <c r="G159" s="182">
        <f t="shared" si="20"/>
        <v>-21</v>
      </c>
      <c r="H159" s="182">
        <f t="shared" si="21"/>
        <v>0</v>
      </c>
    </row>
    <row r="160" spans="1:8" ht="39.75" customHeight="1">
      <c r="A160" s="175"/>
      <c r="B160" s="212" t="s">
        <v>290</v>
      </c>
      <c r="C160" s="181"/>
      <c r="D160" s="170">
        <v>0.3</v>
      </c>
      <c r="E160" s="170"/>
      <c r="F160" s="170">
        <v>15.9</v>
      </c>
      <c r="G160" s="182">
        <f t="shared" si="20"/>
        <v>15.9</v>
      </c>
      <c r="H160" s="185" t="e">
        <f t="shared" si="21"/>
        <v>#DIV/0!</v>
      </c>
    </row>
    <row r="161" spans="1:8" ht="28.5" customHeight="1">
      <c r="A161" s="175"/>
      <c r="B161" s="212" t="s">
        <v>161</v>
      </c>
      <c r="C161" s="181"/>
      <c r="D161" s="170">
        <v>1.4</v>
      </c>
      <c r="E161" s="170"/>
      <c r="F161" s="170"/>
      <c r="G161" s="182">
        <f t="shared" si="20"/>
        <v>0</v>
      </c>
      <c r="H161" s="185" t="e">
        <f t="shared" si="21"/>
        <v>#DIV/0!</v>
      </c>
    </row>
    <row r="162" spans="1:8" ht="27.75" customHeight="1">
      <c r="A162" s="175"/>
      <c r="B162" s="212" t="s">
        <v>254</v>
      </c>
      <c r="C162" s="181"/>
      <c r="D162" s="170">
        <v>3.6</v>
      </c>
      <c r="E162" s="170"/>
      <c r="F162" s="170">
        <v>37.799999999999997</v>
      </c>
      <c r="G162" s="182">
        <f t="shared" si="20"/>
        <v>37.799999999999997</v>
      </c>
      <c r="H162" s="185" t="e">
        <f t="shared" si="21"/>
        <v>#DIV/0!</v>
      </c>
    </row>
    <row r="163" spans="1:8" ht="27.75" customHeight="1">
      <c r="A163" s="175"/>
      <c r="B163" s="212" t="s">
        <v>292</v>
      </c>
      <c r="C163" s="181"/>
      <c r="D163" s="170">
        <v>1.7</v>
      </c>
      <c r="E163" s="170"/>
      <c r="F163" s="170"/>
      <c r="G163" s="182">
        <f t="shared" si="20"/>
        <v>0</v>
      </c>
      <c r="H163" s="185" t="e">
        <f t="shared" si="21"/>
        <v>#DIV/0!</v>
      </c>
    </row>
    <row r="164" spans="1:8" ht="27.75" customHeight="1">
      <c r="A164" s="175"/>
      <c r="B164" s="212" t="s">
        <v>203</v>
      </c>
      <c r="C164" s="181"/>
      <c r="D164" s="170">
        <v>3.1</v>
      </c>
      <c r="E164" s="170"/>
      <c r="F164" s="170"/>
      <c r="G164" s="182">
        <f t="shared" si="20"/>
        <v>0</v>
      </c>
      <c r="H164" s="185" t="e">
        <f t="shared" si="21"/>
        <v>#DIV/0!</v>
      </c>
    </row>
    <row r="165" spans="1:8" ht="24.75" customHeight="1">
      <c r="A165" s="190"/>
      <c r="B165" s="212" t="s">
        <v>193</v>
      </c>
      <c r="C165" s="181"/>
      <c r="D165" s="170">
        <v>23.9</v>
      </c>
      <c r="E165" s="170"/>
      <c r="F165" s="170"/>
      <c r="G165" s="166">
        <f t="shared" si="20"/>
        <v>0</v>
      </c>
      <c r="H165" s="187" t="e">
        <f t="shared" si="21"/>
        <v>#DIV/0!</v>
      </c>
    </row>
    <row r="166" spans="1:8" ht="24.75" customHeight="1">
      <c r="A166" s="190"/>
      <c r="B166" s="180" t="s">
        <v>291</v>
      </c>
      <c r="C166" s="181"/>
      <c r="D166" s="170"/>
      <c r="E166" s="170">
        <v>25</v>
      </c>
      <c r="F166" s="170"/>
      <c r="G166" s="182">
        <f t="shared" si="20"/>
        <v>-25</v>
      </c>
      <c r="H166" s="166">
        <f t="shared" si="21"/>
        <v>0</v>
      </c>
    </row>
    <row r="167" spans="1:8" ht="24.75" customHeight="1">
      <c r="A167" s="171" t="s">
        <v>509</v>
      </c>
      <c r="B167" s="199" t="s">
        <v>92</v>
      </c>
      <c r="C167" s="208">
        <v>1030</v>
      </c>
      <c r="D167" s="174">
        <f>D168</f>
        <v>1.9000000000000001</v>
      </c>
      <c r="E167" s="174">
        <f>E168</f>
        <v>67</v>
      </c>
      <c r="F167" s="174">
        <f>F168</f>
        <v>0.4</v>
      </c>
      <c r="G167" s="196">
        <f t="shared" si="20"/>
        <v>-66.599999999999994</v>
      </c>
      <c r="H167" s="196">
        <f t="shared" si="21"/>
        <v>0.59701492537313439</v>
      </c>
    </row>
    <row r="168" spans="1:8" ht="24.75" customHeight="1">
      <c r="A168" s="175" t="s">
        <v>510</v>
      </c>
      <c r="B168" s="202" t="s">
        <v>92</v>
      </c>
      <c r="C168" s="232">
        <v>1035</v>
      </c>
      <c r="D168" s="165">
        <f>D171+D170</f>
        <v>1.9000000000000001</v>
      </c>
      <c r="E168" s="165">
        <f>E169</f>
        <v>67</v>
      </c>
      <c r="F168" s="165">
        <f>F170+F171</f>
        <v>0.4</v>
      </c>
      <c r="G168" s="166">
        <f t="shared" si="20"/>
        <v>-66.599999999999994</v>
      </c>
      <c r="H168" s="166">
        <f t="shared" si="21"/>
        <v>0.59701492537313439</v>
      </c>
    </row>
    <row r="169" spans="1:8" ht="24.75" customHeight="1">
      <c r="A169" s="175"/>
      <c r="B169" s="233" t="s">
        <v>538</v>
      </c>
      <c r="C169" s="232"/>
      <c r="D169" s="170"/>
      <c r="E169" s="170">
        <v>67</v>
      </c>
      <c r="F169" s="165"/>
      <c r="G169" s="182">
        <f t="shared" si="20"/>
        <v>-67</v>
      </c>
      <c r="H169" s="182">
        <f t="shared" si="21"/>
        <v>0</v>
      </c>
    </row>
    <row r="170" spans="1:8" ht="24.75" customHeight="1">
      <c r="A170" s="175"/>
      <c r="B170" s="233" t="s">
        <v>285</v>
      </c>
      <c r="C170" s="232"/>
      <c r="D170" s="170">
        <v>1.6</v>
      </c>
      <c r="E170" s="170"/>
      <c r="F170" s="170"/>
      <c r="G170" s="182">
        <f t="shared" si="20"/>
        <v>0</v>
      </c>
      <c r="H170" s="185" t="e">
        <f t="shared" si="21"/>
        <v>#DIV/0!</v>
      </c>
    </row>
    <row r="171" spans="1:8" ht="24.75" customHeight="1">
      <c r="A171" s="175"/>
      <c r="B171" s="233" t="s">
        <v>534</v>
      </c>
      <c r="C171" s="232"/>
      <c r="D171" s="170">
        <v>0.3</v>
      </c>
      <c r="E171" s="170"/>
      <c r="F171" s="170">
        <v>0.4</v>
      </c>
      <c r="G171" s="182">
        <f t="shared" ref="G171:G234" si="22">F171-E171</f>
        <v>0.4</v>
      </c>
      <c r="H171" s="185" t="e">
        <f t="shared" ref="H171:H234" si="23">(F171/E171)*100</f>
        <v>#DIV/0!</v>
      </c>
    </row>
    <row r="172" spans="1:8" ht="42" customHeight="1">
      <c r="A172" s="171" t="s">
        <v>186</v>
      </c>
      <c r="B172" s="228" t="s">
        <v>251</v>
      </c>
      <c r="C172" s="160"/>
      <c r="D172" s="165">
        <f>D174+D180</f>
        <v>172.59999999999997</v>
      </c>
      <c r="E172" s="165"/>
      <c r="F172" s="165"/>
      <c r="G172" s="166">
        <f t="shared" si="22"/>
        <v>0</v>
      </c>
      <c r="H172" s="187" t="e">
        <f t="shared" si="23"/>
        <v>#DIV/0!</v>
      </c>
    </row>
    <row r="173" spans="1:8" ht="24.75" customHeight="1">
      <c r="A173" s="171"/>
      <c r="B173" s="169" t="s">
        <v>85</v>
      </c>
      <c r="C173" s="173"/>
      <c r="D173" s="170"/>
      <c r="E173" s="170"/>
      <c r="F173" s="170"/>
      <c r="G173" s="166"/>
      <c r="H173" s="166"/>
    </row>
    <row r="174" spans="1:8" ht="30.75" customHeight="1">
      <c r="A174" s="171" t="s">
        <v>512</v>
      </c>
      <c r="B174" s="199" t="s">
        <v>89</v>
      </c>
      <c r="C174" s="173">
        <v>1010</v>
      </c>
      <c r="D174" s="174">
        <f>D175</f>
        <v>170.49999999999997</v>
      </c>
      <c r="E174" s="174">
        <f>E175+E177</f>
        <v>0</v>
      </c>
      <c r="F174" s="174">
        <f>SUM(F175:F178)</f>
        <v>0</v>
      </c>
      <c r="G174" s="196">
        <f t="shared" si="22"/>
        <v>0</v>
      </c>
      <c r="H174" s="200" t="e">
        <f t="shared" si="23"/>
        <v>#DIV/0!</v>
      </c>
    </row>
    <row r="175" spans="1:8" ht="27" customHeight="1">
      <c r="A175" s="226" t="s">
        <v>511</v>
      </c>
      <c r="B175" s="234" t="s">
        <v>79</v>
      </c>
      <c r="C175" s="160">
        <v>1011</v>
      </c>
      <c r="D175" s="165">
        <f>SUM(D176:D179)</f>
        <v>170.49999999999997</v>
      </c>
      <c r="E175" s="165">
        <f>SUM(E176:E179)</f>
        <v>0</v>
      </c>
      <c r="F175" s="165">
        <f>SUM(F176:F179)</f>
        <v>0</v>
      </c>
      <c r="G175" s="166">
        <f t="shared" si="22"/>
        <v>0</v>
      </c>
      <c r="H175" s="187" t="e">
        <f t="shared" si="23"/>
        <v>#DIV/0!</v>
      </c>
    </row>
    <row r="176" spans="1:8" ht="27.75" customHeight="1">
      <c r="A176" s="231"/>
      <c r="B176" s="235" t="s">
        <v>139</v>
      </c>
      <c r="C176" s="236"/>
      <c r="D176" s="170">
        <v>110.3</v>
      </c>
      <c r="E176" s="170"/>
      <c r="F176" s="170"/>
      <c r="G176" s="166">
        <f t="shared" si="22"/>
        <v>0</v>
      </c>
      <c r="H176" s="187" t="e">
        <f t="shared" si="23"/>
        <v>#DIV/0!</v>
      </c>
    </row>
    <row r="177" spans="1:12" ht="38.25" customHeight="1">
      <c r="A177" s="231"/>
      <c r="B177" s="180" t="s">
        <v>164</v>
      </c>
      <c r="C177" s="157"/>
      <c r="D177" s="170">
        <v>23.4</v>
      </c>
      <c r="E177" s="170"/>
      <c r="F177" s="170"/>
      <c r="G177" s="166">
        <f t="shared" si="22"/>
        <v>0</v>
      </c>
      <c r="H177" s="187" t="e">
        <f t="shared" si="23"/>
        <v>#DIV/0!</v>
      </c>
    </row>
    <row r="178" spans="1:12" ht="24.75" customHeight="1">
      <c r="A178" s="231"/>
      <c r="B178" s="180" t="s">
        <v>181</v>
      </c>
      <c r="C178" s="157"/>
      <c r="D178" s="170">
        <v>26.7</v>
      </c>
      <c r="E178" s="170"/>
      <c r="F178" s="170"/>
      <c r="G178" s="166">
        <f t="shared" si="22"/>
        <v>0</v>
      </c>
      <c r="H178" s="187" t="e">
        <f t="shared" si="23"/>
        <v>#DIV/0!</v>
      </c>
    </row>
    <row r="179" spans="1:12" ht="24.75" customHeight="1">
      <c r="A179" s="231"/>
      <c r="B179" s="237" t="s">
        <v>140</v>
      </c>
      <c r="C179" s="214"/>
      <c r="D179" s="170">
        <v>10.1</v>
      </c>
      <c r="E179" s="170"/>
      <c r="F179" s="170"/>
      <c r="G179" s="166">
        <f t="shared" si="22"/>
        <v>0</v>
      </c>
      <c r="H179" s="187" t="e">
        <f t="shared" si="23"/>
        <v>#DIV/0!</v>
      </c>
    </row>
    <row r="180" spans="1:12" ht="24.75" customHeight="1">
      <c r="A180" s="171" t="s">
        <v>513</v>
      </c>
      <c r="B180" s="199" t="s">
        <v>91</v>
      </c>
      <c r="C180" s="173">
        <v>1020</v>
      </c>
      <c r="D180" s="174">
        <f>D181</f>
        <v>2.1</v>
      </c>
      <c r="E180" s="174"/>
      <c r="F180" s="174"/>
      <c r="G180" s="196">
        <f t="shared" si="22"/>
        <v>0</v>
      </c>
      <c r="H180" s="200" t="e">
        <f t="shared" si="23"/>
        <v>#DIV/0!</v>
      </c>
    </row>
    <row r="181" spans="1:12" ht="25.5" customHeight="1">
      <c r="A181" s="226" t="s">
        <v>516</v>
      </c>
      <c r="B181" s="202" t="s">
        <v>106</v>
      </c>
      <c r="C181" s="203">
        <v>1021</v>
      </c>
      <c r="D181" s="165">
        <f>D182</f>
        <v>2.1</v>
      </c>
      <c r="E181" s="165">
        <f>E182</f>
        <v>0</v>
      </c>
      <c r="F181" s="165">
        <f>F182</f>
        <v>0</v>
      </c>
      <c r="G181" s="166">
        <f t="shared" si="22"/>
        <v>0</v>
      </c>
      <c r="H181" s="187" t="e">
        <f t="shared" si="23"/>
        <v>#DIV/0!</v>
      </c>
    </row>
    <row r="182" spans="1:12" ht="46.5" customHeight="1">
      <c r="A182" s="175"/>
      <c r="B182" s="237" t="s">
        <v>164</v>
      </c>
      <c r="C182" s="222"/>
      <c r="D182" s="165">
        <v>2.1</v>
      </c>
      <c r="E182" s="165">
        <f>E184</f>
        <v>0</v>
      </c>
      <c r="F182" s="165"/>
      <c r="G182" s="166">
        <f t="shared" si="22"/>
        <v>0</v>
      </c>
      <c r="H182" s="187" t="e">
        <f t="shared" si="23"/>
        <v>#DIV/0!</v>
      </c>
    </row>
    <row r="183" spans="1:12" ht="39.75" customHeight="1">
      <c r="A183" s="175" t="s">
        <v>187</v>
      </c>
      <c r="B183" s="238" t="s">
        <v>558</v>
      </c>
      <c r="C183" s="186"/>
      <c r="D183" s="165">
        <f>D185</f>
        <v>41.7</v>
      </c>
      <c r="E183" s="165">
        <f>E185</f>
        <v>89.699999999999989</v>
      </c>
      <c r="F183" s="165">
        <f>F185</f>
        <v>0</v>
      </c>
      <c r="G183" s="166">
        <f t="shared" si="22"/>
        <v>-89.699999999999989</v>
      </c>
      <c r="H183" s="166">
        <f t="shared" si="23"/>
        <v>0</v>
      </c>
    </row>
    <row r="184" spans="1:12" ht="24.75" customHeight="1">
      <c r="A184" s="179"/>
      <c r="B184" s="169" t="s">
        <v>85</v>
      </c>
      <c r="D184" s="239"/>
      <c r="E184" s="239"/>
      <c r="F184" s="239"/>
      <c r="G184" s="166"/>
      <c r="H184" s="166"/>
    </row>
    <row r="185" spans="1:12" ht="24.75" customHeight="1">
      <c r="A185" s="206" t="s">
        <v>514</v>
      </c>
      <c r="B185" s="240" t="s">
        <v>89</v>
      </c>
      <c r="C185" s="208">
        <v>1010</v>
      </c>
      <c r="D185" s="241">
        <f>D186+D187</f>
        <v>41.7</v>
      </c>
      <c r="E185" s="241">
        <f>E186+E187</f>
        <v>89.699999999999989</v>
      </c>
      <c r="F185" s="241">
        <f>F186+F187</f>
        <v>0</v>
      </c>
      <c r="G185" s="196">
        <f t="shared" si="22"/>
        <v>-89.699999999999989</v>
      </c>
      <c r="H185" s="196">
        <f t="shared" si="23"/>
        <v>0</v>
      </c>
    </row>
    <row r="186" spans="1:12" ht="24.75" customHeight="1">
      <c r="A186" s="175" t="s">
        <v>515</v>
      </c>
      <c r="B186" s="216" t="s">
        <v>2</v>
      </c>
      <c r="C186" s="186">
        <v>1012</v>
      </c>
      <c r="D186" s="165">
        <v>34.200000000000003</v>
      </c>
      <c r="E186" s="242">
        <v>73.599999999999994</v>
      </c>
      <c r="F186" s="165"/>
      <c r="G186" s="166">
        <f t="shared" si="22"/>
        <v>-73.599999999999994</v>
      </c>
      <c r="H186" s="166">
        <f t="shared" si="23"/>
        <v>0</v>
      </c>
    </row>
    <row r="187" spans="1:12" ht="24.75" customHeight="1">
      <c r="A187" s="175" t="s">
        <v>519</v>
      </c>
      <c r="B187" s="216" t="s">
        <v>3</v>
      </c>
      <c r="C187" s="186">
        <v>1013</v>
      </c>
      <c r="D187" s="165">
        <v>7.5</v>
      </c>
      <c r="E187" s="165">
        <v>16.100000000000001</v>
      </c>
      <c r="F187" s="165"/>
      <c r="G187" s="166">
        <f t="shared" si="22"/>
        <v>-16.100000000000001</v>
      </c>
      <c r="H187" s="166">
        <f t="shared" si="23"/>
        <v>0</v>
      </c>
    </row>
    <row r="188" spans="1:12" ht="24.75" customHeight="1">
      <c r="A188" s="175" t="s">
        <v>195</v>
      </c>
      <c r="B188" s="176" t="s">
        <v>253</v>
      </c>
      <c r="C188" s="181"/>
      <c r="D188" s="165">
        <f>D190+D207</f>
        <v>10697.400000000001</v>
      </c>
      <c r="E188" s="165">
        <f>E190+E207</f>
        <v>7564.9999999999991</v>
      </c>
      <c r="F188" s="165">
        <f>F190+F207</f>
        <v>9780.3000000000011</v>
      </c>
      <c r="G188" s="166">
        <f t="shared" si="22"/>
        <v>2215.300000000002</v>
      </c>
      <c r="H188" s="166">
        <f t="shared" si="23"/>
        <v>129.28354263053538</v>
      </c>
      <c r="L188" s="148">
        <v>7565</v>
      </c>
    </row>
    <row r="189" spans="1:12" ht="24.75" customHeight="1">
      <c r="A189" s="179"/>
      <c r="B189" s="243" t="s">
        <v>85</v>
      </c>
      <c r="C189" s="214"/>
      <c r="D189" s="170"/>
      <c r="E189" s="170"/>
      <c r="F189" s="170"/>
      <c r="G189" s="166"/>
      <c r="H189" s="166"/>
      <c r="L189" s="163">
        <v>9780.2999999999993</v>
      </c>
    </row>
    <row r="190" spans="1:12" ht="24.75" customHeight="1">
      <c r="A190" s="206" t="s">
        <v>197</v>
      </c>
      <c r="B190" s="244" t="s">
        <v>89</v>
      </c>
      <c r="C190" s="222">
        <v>1010</v>
      </c>
      <c r="D190" s="174">
        <f>D191+D200+D201+D202</f>
        <v>10686.300000000001</v>
      </c>
      <c r="E190" s="174">
        <f>E191+E200+E201+E202</f>
        <v>7464.5999999999995</v>
      </c>
      <c r="F190" s="174">
        <f>F191+F200+F201+F202</f>
        <v>9695.7000000000007</v>
      </c>
      <c r="G190" s="196">
        <f t="shared" si="22"/>
        <v>2231.1000000000013</v>
      </c>
      <c r="H190" s="196">
        <f t="shared" si="23"/>
        <v>129.88907644080058</v>
      </c>
    </row>
    <row r="191" spans="1:12" ht="24.75" customHeight="1">
      <c r="A191" s="175" t="s">
        <v>198</v>
      </c>
      <c r="B191" s="211" t="s">
        <v>106</v>
      </c>
      <c r="C191" s="177">
        <v>1011</v>
      </c>
      <c r="D191" s="165">
        <f>SUM(D192:D197)</f>
        <v>4892.9000000000005</v>
      </c>
      <c r="E191" s="165">
        <f>SUM(E192:E197)</f>
        <v>3000</v>
      </c>
      <c r="F191" s="165">
        <f>SUM(F192:F199)</f>
        <v>4185.8</v>
      </c>
      <c r="G191" s="166">
        <f t="shared" si="22"/>
        <v>1185.8000000000002</v>
      </c>
      <c r="H191" s="166">
        <f t="shared" si="23"/>
        <v>139.52666666666667</v>
      </c>
    </row>
    <row r="192" spans="1:12" ht="24" customHeight="1">
      <c r="A192" s="190"/>
      <c r="B192" s="184" t="s">
        <v>181</v>
      </c>
      <c r="C192" s="181"/>
      <c r="D192" s="170"/>
      <c r="E192" s="170"/>
      <c r="F192" s="170">
        <v>26.9</v>
      </c>
      <c r="G192" s="182">
        <f t="shared" si="22"/>
        <v>26.9</v>
      </c>
      <c r="H192" s="187" t="e">
        <f t="shared" si="23"/>
        <v>#DIV/0!</v>
      </c>
    </row>
    <row r="193" spans="1:13" ht="42.75" customHeight="1">
      <c r="A193" s="190"/>
      <c r="B193" s="180" t="s">
        <v>188</v>
      </c>
      <c r="C193" s="181"/>
      <c r="D193" s="170">
        <v>100.4</v>
      </c>
      <c r="E193" s="170"/>
      <c r="F193" s="170">
        <v>2</v>
      </c>
      <c r="G193" s="182">
        <f t="shared" si="22"/>
        <v>2</v>
      </c>
      <c r="H193" s="187" t="e">
        <f t="shared" si="23"/>
        <v>#DIV/0!</v>
      </c>
      <c r="I193" s="189"/>
    </row>
    <row r="194" spans="1:13" ht="24.75" customHeight="1">
      <c r="A194" s="190"/>
      <c r="B194" s="180" t="s">
        <v>189</v>
      </c>
      <c r="C194" s="181"/>
      <c r="D194" s="170">
        <v>2689.5</v>
      </c>
      <c r="E194" s="170">
        <v>3000</v>
      </c>
      <c r="F194" s="170">
        <f>3250-61.9-105.7</f>
        <v>3082.4</v>
      </c>
      <c r="G194" s="182">
        <f t="shared" si="22"/>
        <v>82.400000000000091</v>
      </c>
      <c r="H194" s="166">
        <f t="shared" si="23"/>
        <v>102.74666666666667</v>
      </c>
    </row>
    <row r="195" spans="1:13" ht="24.75" customHeight="1">
      <c r="A195" s="190"/>
      <c r="B195" s="180" t="s">
        <v>190</v>
      </c>
      <c r="C195" s="181"/>
      <c r="D195" s="170">
        <v>2096.8000000000002</v>
      </c>
      <c r="E195" s="170"/>
      <c r="F195" s="170">
        <v>477</v>
      </c>
      <c r="G195" s="182">
        <f t="shared" si="22"/>
        <v>477</v>
      </c>
      <c r="H195" s="187" t="e">
        <f t="shared" si="23"/>
        <v>#DIV/0!</v>
      </c>
    </row>
    <row r="196" spans="1:13" ht="24.75" customHeight="1">
      <c r="A196" s="190"/>
      <c r="B196" s="180" t="s">
        <v>356</v>
      </c>
      <c r="C196" s="181"/>
      <c r="D196" s="170"/>
      <c r="E196" s="170"/>
      <c r="F196" s="170">
        <v>146.30000000000001</v>
      </c>
      <c r="G196" s="182">
        <f t="shared" si="22"/>
        <v>146.30000000000001</v>
      </c>
      <c r="H196" s="187" t="e">
        <f t="shared" si="23"/>
        <v>#DIV/0!</v>
      </c>
    </row>
    <row r="197" spans="1:13" ht="24.75" customHeight="1">
      <c r="A197" s="190"/>
      <c r="B197" s="180" t="s">
        <v>191</v>
      </c>
      <c r="C197" s="181"/>
      <c r="D197" s="170">
        <v>6.2</v>
      </c>
      <c r="E197" s="170"/>
      <c r="F197" s="170">
        <v>187.3</v>
      </c>
      <c r="G197" s="182">
        <f t="shared" si="22"/>
        <v>187.3</v>
      </c>
      <c r="H197" s="187" t="e">
        <f t="shared" si="23"/>
        <v>#DIV/0!</v>
      </c>
    </row>
    <row r="198" spans="1:13" ht="24.75" customHeight="1">
      <c r="A198" s="190"/>
      <c r="B198" s="180" t="s">
        <v>192</v>
      </c>
      <c r="C198" s="181"/>
      <c r="D198" s="170"/>
      <c r="E198" s="170"/>
      <c r="F198" s="170">
        <v>4.5999999999999996</v>
      </c>
      <c r="G198" s="182">
        <f t="shared" si="22"/>
        <v>4.5999999999999996</v>
      </c>
      <c r="H198" s="187" t="e">
        <f t="shared" si="23"/>
        <v>#DIV/0!</v>
      </c>
    </row>
    <row r="199" spans="1:13" ht="24.75" customHeight="1">
      <c r="A199" s="190"/>
      <c r="B199" s="235" t="s">
        <v>139</v>
      </c>
      <c r="C199" s="181"/>
      <c r="D199" s="170"/>
      <c r="E199" s="170"/>
      <c r="F199" s="170">
        <v>259.3</v>
      </c>
      <c r="G199" s="182">
        <f t="shared" si="22"/>
        <v>259.3</v>
      </c>
      <c r="H199" s="187" t="e">
        <f t="shared" si="23"/>
        <v>#DIV/0!</v>
      </c>
    </row>
    <row r="200" spans="1:13" ht="24.75" customHeight="1">
      <c r="A200" s="175" t="s">
        <v>520</v>
      </c>
      <c r="B200" s="176" t="s">
        <v>2</v>
      </c>
      <c r="C200" s="186">
        <v>1012</v>
      </c>
      <c r="D200" s="165">
        <v>1989.3</v>
      </c>
      <c r="E200" s="165">
        <v>0</v>
      </c>
      <c r="F200" s="165"/>
      <c r="G200" s="166">
        <f t="shared" si="22"/>
        <v>0</v>
      </c>
      <c r="H200" s="187" t="e">
        <f t="shared" si="23"/>
        <v>#DIV/0!</v>
      </c>
      <c r="J200" s="163"/>
    </row>
    <row r="201" spans="1:13" ht="24.75" customHeight="1">
      <c r="A201" s="175" t="s">
        <v>521</v>
      </c>
      <c r="B201" s="176" t="s">
        <v>3</v>
      </c>
      <c r="C201" s="186">
        <v>1013</v>
      </c>
      <c r="D201" s="165">
        <v>412.1</v>
      </c>
      <c r="E201" s="165">
        <v>0</v>
      </c>
      <c r="F201" s="165"/>
      <c r="G201" s="166">
        <f t="shared" si="22"/>
        <v>0</v>
      </c>
      <c r="H201" s="187" t="e">
        <f t="shared" si="23"/>
        <v>#DIV/0!</v>
      </c>
    </row>
    <row r="202" spans="1:13" ht="24.75" customHeight="1">
      <c r="A202" s="175" t="s">
        <v>522</v>
      </c>
      <c r="B202" s="164" t="s">
        <v>97</v>
      </c>
      <c r="C202" s="160">
        <v>1015</v>
      </c>
      <c r="D202" s="165">
        <f>SUM(D203:D206)</f>
        <v>3391.9999999999995</v>
      </c>
      <c r="E202" s="165">
        <f>SUM(E203:E206)</f>
        <v>4464.5999999999995</v>
      </c>
      <c r="F202" s="165">
        <f>SUM(F203:F206)</f>
        <v>5509.9000000000005</v>
      </c>
      <c r="G202" s="166">
        <f t="shared" si="22"/>
        <v>1045.3000000000011</v>
      </c>
      <c r="H202" s="166">
        <f t="shared" si="23"/>
        <v>123.41307171975096</v>
      </c>
    </row>
    <row r="203" spans="1:13" ht="24.75" customHeight="1">
      <c r="A203" s="175"/>
      <c r="B203" s="191" t="s">
        <v>174</v>
      </c>
      <c r="C203" s="191"/>
      <c r="D203" s="170">
        <v>1765.8</v>
      </c>
      <c r="E203" s="170">
        <v>2622.2</v>
      </c>
      <c r="F203" s="170">
        <v>2882.8</v>
      </c>
      <c r="G203" s="182">
        <f t="shared" si="22"/>
        <v>260.60000000000036</v>
      </c>
      <c r="H203" s="182">
        <f t="shared" si="23"/>
        <v>109.93821981542217</v>
      </c>
      <c r="M203" s="148" t="s">
        <v>252</v>
      </c>
    </row>
    <row r="204" spans="1:13" ht="24.75" customHeight="1">
      <c r="A204" s="175"/>
      <c r="B204" s="191" t="s">
        <v>175</v>
      </c>
      <c r="C204" s="191"/>
      <c r="D204" s="170">
        <v>336.8</v>
      </c>
      <c r="E204" s="170">
        <v>335.7</v>
      </c>
      <c r="F204" s="170">
        <v>248</v>
      </c>
      <c r="G204" s="182">
        <f t="shared" si="22"/>
        <v>-87.699999999999989</v>
      </c>
      <c r="H204" s="182">
        <f t="shared" si="23"/>
        <v>73.875484063151632</v>
      </c>
    </row>
    <row r="205" spans="1:13" ht="24.75" customHeight="1">
      <c r="A205" s="175"/>
      <c r="B205" s="191" t="s">
        <v>193</v>
      </c>
      <c r="C205" s="191"/>
      <c r="D205" s="170">
        <v>1202.8</v>
      </c>
      <c r="E205" s="170">
        <v>1411</v>
      </c>
      <c r="F205" s="170">
        <v>2281.9</v>
      </c>
      <c r="G205" s="182">
        <f t="shared" si="22"/>
        <v>870.90000000000009</v>
      </c>
      <c r="H205" s="182">
        <f t="shared" si="23"/>
        <v>161.72218284904324</v>
      </c>
    </row>
    <row r="206" spans="1:13" ht="24.75" customHeight="1">
      <c r="B206" s="191" t="s">
        <v>177</v>
      </c>
      <c r="D206" s="170">
        <v>86.6</v>
      </c>
      <c r="E206" s="170">
        <v>95.7</v>
      </c>
      <c r="F206" s="170">
        <v>97.2</v>
      </c>
      <c r="G206" s="182">
        <f t="shared" si="22"/>
        <v>1.5</v>
      </c>
      <c r="H206" s="182">
        <f t="shared" si="23"/>
        <v>101.56739811912226</v>
      </c>
      <c r="L206" s="189"/>
    </row>
    <row r="207" spans="1:13" ht="24.75" customHeight="1">
      <c r="A207" s="206" t="s">
        <v>523</v>
      </c>
      <c r="B207" s="221" t="s">
        <v>91</v>
      </c>
      <c r="C207" s="222">
        <v>1020</v>
      </c>
      <c r="D207" s="174">
        <f>D208</f>
        <v>11.1</v>
      </c>
      <c r="E207" s="174">
        <f>E208</f>
        <v>100.4</v>
      </c>
      <c r="F207" s="174">
        <f>F208</f>
        <v>84.600000000000009</v>
      </c>
      <c r="G207" s="196">
        <f t="shared" si="22"/>
        <v>-15.799999999999997</v>
      </c>
      <c r="H207" s="196">
        <f t="shared" si="23"/>
        <v>84.26294820717132</v>
      </c>
    </row>
    <row r="208" spans="1:13" ht="24.75" customHeight="1">
      <c r="A208" s="175" t="s">
        <v>524</v>
      </c>
      <c r="B208" s="223" t="s">
        <v>179</v>
      </c>
      <c r="C208" s="177">
        <v>1025</v>
      </c>
      <c r="D208" s="165">
        <f>SUM(D209:D212)</f>
        <v>11.1</v>
      </c>
      <c r="E208" s="165">
        <f>SUM(E209:E212)</f>
        <v>100.4</v>
      </c>
      <c r="F208" s="165">
        <f>SUM(F209:F212)</f>
        <v>84.600000000000009</v>
      </c>
      <c r="G208" s="166">
        <f t="shared" si="22"/>
        <v>-15.799999999999997</v>
      </c>
      <c r="H208" s="166">
        <f t="shared" si="23"/>
        <v>84.26294820717132</v>
      </c>
    </row>
    <row r="209" spans="1:17" ht="24.75" customHeight="1">
      <c r="A209" s="231"/>
      <c r="B209" s="219" t="s">
        <v>174</v>
      </c>
      <c r="C209" s="181"/>
      <c r="D209" s="170">
        <v>2.5</v>
      </c>
      <c r="E209" s="170">
        <v>59</v>
      </c>
      <c r="F209" s="170">
        <v>33.6</v>
      </c>
      <c r="G209" s="182">
        <f t="shared" si="22"/>
        <v>-25.4</v>
      </c>
      <c r="H209" s="182">
        <f t="shared" si="23"/>
        <v>56.949152542372886</v>
      </c>
    </row>
    <row r="210" spans="1:17" ht="24.75" customHeight="1">
      <c r="A210" s="231"/>
      <c r="B210" s="219" t="s">
        <v>175</v>
      </c>
      <c r="C210" s="181"/>
      <c r="D210" s="170">
        <v>1.5</v>
      </c>
      <c r="E210" s="170">
        <v>7.5</v>
      </c>
      <c r="F210" s="170">
        <v>4.7</v>
      </c>
      <c r="G210" s="182">
        <f t="shared" si="22"/>
        <v>-2.8</v>
      </c>
      <c r="H210" s="182">
        <f t="shared" si="23"/>
        <v>62.666666666666671</v>
      </c>
    </row>
    <row r="211" spans="1:17" ht="24.75" customHeight="1">
      <c r="A211" s="231"/>
      <c r="B211" s="219" t="s">
        <v>176</v>
      </c>
      <c r="C211" s="181"/>
      <c r="D211" s="170">
        <v>6.6</v>
      </c>
      <c r="E211" s="170">
        <v>31.7</v>
      </c>
      <c r="F211" s="170">
        <v>44.6</v>
      </c>
      <c r="G211" s="182">
        <f t="shared" si="22"/>
        <v>12.900000000000002</v>
      </c>
      <c r="H211" s="182">
        <f t="shared" si="23"/>
        <v>140.69400630914828</v>
      </c>
    </row>
    <row r="212" spans="1:17" ht="24.75" customHeight="1">
      <c r="A212" s="175"/>
      <c r="B212" s="219" t="s">
        <v>194</v>
      </c>
      <c r="C212" s="177"/>
      <c r="D212" s="170">
        <v>0.5</v>
      </c>
      <c r="E212" s="170">
        <v>2.2000000000000002</v>
      </c>
      <c r="F212" s="170">
        <v>1.7</v>
      </c>
      <c r="G212" s="182">
        <f t="shared" si="22"/>
        <v>-0.50000000000000022</v>
      </c>
      <c r="H212" s="182">
        <f t="shared" si="23"/>
        <v>77.272727272727266</v>
      </c>
    </row>
    <row r="213" spans="1:17" s="149" customFormat="1" ht="24.75" customHeight="1">
      <c r="A213" s="175" t="s">
        <v>199</v>
      </c>
      <c r="B213" s="176" t="s">
        <v>420</v>
      </c>
      <c r="C213" s="177"/>
      <c r="D213" s="165">
        <f>D215</f>
        <v>1123.1999999999998</v>
      </c>
      <c r="E213" s="165"/>
      <c r="F213" s="165">
        <f>F215</f>
        <v>167.6</v>
      </c>
      <c r="G213" s="166">
        <f t="shared" si="22"/>
        <v>167.6</v>
      </c>
      <c r="H213" s="187" t="e">
        <f t="shared" si="23"/>
        <v>#DIV/0!</v>
      </c>
      <c r="O213" s="245"/>
      <c r="P213" s="245"/>
      <c r="Q213" s="245"/>
    </row>
    <row r="214" spans="1:17" ht="24.75" customHeight="1">
      <c r="A214" s="179"/>
      <c r="B214" s="243" t="s">
        <v>85</v>
      </c>
      <c r="C214" s="214"/>
      <c r="E214" s="170"/>
      <c r="F214" s="170"/>
      <c r="G214" s="166"/>
      <c r="H214" s="166"/>
    </row>
    <row r="215" spans="1:17" ht="30" customHeight="1">
      <c r="A215" s="206" t="s">
        <v>388</v>
      </c>
      <c r="B215" s="244" t="s">
        <v>89</v>
      </c>
      <c r="C215" s="222">
        <v>1010</v>
      </c>
      <c r="D215" s="174">
        <f>D216</f>
        <v>1123.1999999999998</v>
      </c>
      <c r="E215" s="174"/>
      <c r="F215" s="174">
        <f>F219</f>
        <v>167.6</v>
      </c>
      <c r="G215" s="196">
        <f t="shared" si="22"/>
        <v>167.6</v>
      </c>
      <c r="H215" s="200" t="e">
        <f t="shared" si="23"/>
        <v>#DIV/0!</v>
      </c>
    </row>
    <row r="216" spans="1:17" s="149" customFormat="1" ht="24.75" customHeight="1">
      <c r="A216" s="175" t="s">
        <v>389</v>
      </c>
      <c r="B216" s="211" t="s">
        <v>106</v>
      </c>
      <c r="C216" s="177">
        <v>1011</v>
      </c>
      <c r="D216" s="162">
        <f>SUM(D217:D221)</f>
        <v>1123.1999999999998</v>
      </c>
      <c r="E216" s="165"/>
      <c r="F216" s="165">
        <f>F219</f>
        <v>167.6</v>
      </c>
      <c r="G216" s="166">
        <f t="shared" si="22"/>
        <v>167.6</v>
      </c>
      <c r="H216" s="187" t="e">
        <f t="shared" si="23"/>
        <v>#DIV/0!</v>
      </c>
      <c r="O216" s="245"/>
      <c r="P216" s="245"/>
      <c r="Q216" s="245"/>
    </row>
    <row r="217" spans="1:17" ht="29.25" customHeight="1">
      <c r="A217" s="175"/>
      <c r="B217" s="184" t="s">
        <v>191</v>
      </c>
      <c r="C217" s="177"/>
      <c r="D217" s="170">
        <v>41</v>
      </c>
      <c r="E217" s="170"/>
      <c r="F217" s="170"/>
      <c r="G217" s="166">
        <f t="shared" si="22"/>
        <v>0</v>
      </c>
      <c r="H217" s="187" t="e">
        <f t="shared" si="23"/>
        <v>#DIV/0!</v>
      </c>
    </row>
    <row r="218" spans="1:17" ht="37.5" customHeight="1">
      <c r="A218" s="179"/>
      <c r="B218" s="180" t="s">
        <v>188</v>
      </c>
      <c r="C218" s="214"/>
      <c r="D218" s="170">
        <v>63.9</v>
      </c>
      <c r="E218" s="170"/>
      <c r="F218" s="170"/>
      <c r="G218" s="166">
        <f t="shared" si="22"/>
        <v>0</v>
      </c>
      <c r="H218" s="187" t="e">
        <f t="shared" si="23"/>
        <v>#DIV/0!</v>
      </c>
    </row>
    <row r="219" spans="1:17" ht="24.75" customHeight="1">
      <c r="A219" s="179"/>
      <c r="B219" s="180" t="s">
        <v>189</v>
      </c>
      <c r="C219" s="214"/>
      <c r="D219" s="170">
        <v>841.9</v>
      </c>
      <c r="E219" s="170"/>
      <c r="F219" s="170">
        <f>61.9+105.7</f>
        <v>167.6</v>
      </c>
      <c r="G219" s="182">
        <f t="shared" si="22"/>
        <v>167.6</v>
      </c>
      <c r="H219" s="187" t="e">
        <f t="shared" si="23"/>
        <v>#DIV/0!</v>
      </c>
    </row>
    <row r="220" spans="1:17" ht="24.75" customHeight="1">
      <c r="A220" s="231"/>
      <c r="B220" s="180" t="s">
        <v>192</v>
      </c>
      <c r="C220" s="181"/>
      <c r="D220" s="170">
        <v>70.900000000000006</v>
      </c>
      <c r="E220" s="170"/>
      <c r="F220" s="170"/>
      <c r="G220" s="166">
        <f t="shared" si="22"/>
        <v>0</v>
      </c>
      <c r="H220" s="187" t="e">
        <f t="shared" si="23"/>
        <v>#DIV/0!</v>
      </c>
    </row>
    <row r="221" spans="1:17" ht="24.75" customHeight="1">
      <c r="A221" s="231"/>
      <c r="B221" s="180" t="s">
        <v>190</v>
      </c>
      <c r="C221" s="181"/>
      <c r="D221" s="170">
        <v>105.5</v>
      </c>
      <c r="E221" s="170"/>
      <c r="F221" s="170"/>
      <c r="G221" s="166">
        <f t="shared" si="22"/>
        <v>0</v>
      </c>
      <c r="H221" s="187" t="e">
        <f t="shared" si="23"/>
        <v>#DIV/0!</v>
      </c>
    </row>
    <row r="222" spans="1:17" ht="42" customHeight="1">
      <c r="A222" s="226" t="s">
        <v>517</v>
      </c>
      <c r="B222" s="228" t="s">
        <v>196</v>
      </c>
      <c r="C222" s="181"/>
      <c r="D222" s="165">
        <f>D224</f>
        <v>14.7</v>
      </c>
      <c r="E222" s="170">
        <f>E224</f>
        <v>18.5</v>
      </c>
      <c r="F222" s="170"/>
      <c r="G222" s="166">
        <f t="shared" si="22"/>
        <v>-18.5</v>
      </c>
      <c r="H222" s="166">
        <f t="shared" si="23"/>
        <v>0</v>
      </c>
    </row>
    <row r="223" spans="1:17" ht="24.75" customHeight="1">
      <c r="A223" s="231"/>
      <c r="B223" s="169" t="s">
        <v>85</v>
      </c>
      <c r="C223" s="214"/>
      <c r="D223" s="170"/>
      <c r="E223" s="170"/>
      <c r="F223" s="170">
        <f>F224</f>
        <v>0</v>
      </c>
      <c r="G223" s="166"/>
      <c r="H223" s="166"/>
    </row>
    <row r="224" spans="1:17" ht="30.75" customHeight="1">
      <c r="A224" s="171" t="s">
        <v>518</v>
      </c>
      <c r="B224" s="244" t="s">
        <v>89</v>
      </c>
      <c r="C224" s="173">
        <v>1010</v>
      </c>
      <c r="D224" s="174">
        <f>D225</f>
        <v>14.7</v>
      </c>
      <c r="E224" s="174">
        <f>E225</f>
        <v>18.5</v>
      </c>
      <c r="F224" s="174">
        <f>F225</f>
        <v>0</v>
      </c>
      <c r="G224" s="196">
        <f t="shared" si="22"/>
        <v>-18.5</v>
      </c>
      <c r="H224" s="196">
        <f t="shared" si="23"/>
        <v>0</v>
      </c>
    </row>
    <row r="225" spans="1:17" ht="28.5" customHeight="1">
      <c r="A225" s="226" t="s">
        <v>390</v>
      </c>
      <c r="B225" s="164" t="s">
        <v>97</v>
      </c>
      <c r="C225" s="160">
        <v>1015</v>
      </c>
      <c r="D225" s="165">
        <f>D226</f>
        <v>14.7</v>
      </c>
      <c r="E225" s="165">
        <f>E226</f>
        <v>18.5</v>
      </c>
      <c r="F225" s="165"/>
      <c r="G225" s="166">
        <f t="shared" si="22"/>
        <v>-18.5</v>
      </c>
      <c r="H225" s="166">
        <f t="shared" si="23"/>
        <v>0</v>
      </c>
    </row>
    <row r="226" spans="1:17" ht="27" customHeight="1">
      <c r="A226" s="226"/>
      <c r="B226" s="191" t="s">
        <v>152</v>
      </c>
      <c r="C226" s="186"/>
      <c r="D226" s="170">
        <v>14.7</v>
      </c>
      <c r="E226" s="170">
        <v>18.5</v>
      </c>
      <c r="F226" s="170"/>
      <c r="G226" s="246">
        <f t="shared" si="22"/>
        <v>-18.5</v>
      </c>
      <c r="H226" s="166">
        <f t="shared" si="23"/>
        <v>0</v>
      </c>
    </row>
    <row r="227" spans="1:17" ht="51" customHeight="1">
      <c r="A227" s="226" t="s">
        <v>225</v>
      </c>
      <c r="B227" s="228" t="s">
        <v>293</v>
      </c>
      <c r="C227" s="177"/>
      <c r="D227" s="165">
        <f>D229</f>
        <v>0.5</v>
      </c>
      <c r="E227" s="165"/>
      <c r="F227" s="165"/>
      <c r="G227" s="166">
        <f t="shared" si="22"/>
        <v>0</v>
      </c>
      <c r="H227" s="187" t="e">
        <f t="shared" si="23"/>
        <v>#DIV/0!</v>
      </c>
    </row>
    <row r="228" spans="1:17" ht="26.25" customHeight="1">
      <c r="A228" s="231"/>
      <c r="B228" s="169" t="s">
        <v>85</v>
      </c>
      <c r="D228" s="170"/>
      <c r="E228" s="170"/>
      <c r="F228" s="170"/>
      <c r="G228" s="166">
        <f t="shared" si="22"/>
        <v>0</v>
      </c>
      <c r="H228" s="187" t="e">
        <f t="shared" si="23"/>
        <v>#DIV/0!</v>
      </c>
    </row>
    <row r="229" spans="1:17" ht="26.25" customHeight="1">
      <c r="A229" s="171" t="s">
        <v>391</v>
      </c>
      <c r="B229" s="244" t="s">
        <v>89</v>
      </c>
      <c r="C229" s="222">
        <v>1010</v>
      </c>
      <c r="D229" s="174">
        <f>D230</f>
        <v>0.5</v>
      </c>
      <c r="E229" s="174"/>
      <c r="F229" s="174"/>
      <c r="G229" s="196">
        <f t="shared" si="22"/>
        <v>0</v>
      </c>
      <c r="H229" s="200" t="e">
        <f t="shared" si="23"/>
        <v>#DIV/0!</v>
      </c>
    </row>
    <row r="230" spans="1:17" ht="26.25" customHeight="1">
      <c r="A230" s="226" t="s">
        <v>392</v>
      </c>
      <c r="B230" s="164" t="s">
        <v>97</v>
      </c>
      <c r="C230" s="160">
        <v>1015</v>
      </c>
      <c r="D230" s="165">
        <f>D231</f>
        <v>0.5</v>
      </c>
      <c r="E230" s="165"/>
      <c r="F230" s="165"/>
      <c r="G230" s="166">
        <f t="shared" si="22"/>
        <v>0</v>
      </c>
      <c r="H230" s="187" t="e">
        <f t="shared" si="23"/>
        <v>#DIV/0!</v>
      </c>
    </row>
    <row r="231" spans="1:17" ht="24.75" customHeight="1">
      <c r="B231" s="191" t="s">
        <v>152</v>
      </c>
      <c r="C231" s="186"/>
      <c r="D231" s="165">
        <v>0.5</v>
      </c>
      <c r="E231" s="165">
        <v>0</v>
      </c>
      <c r="G231" s="166">
        <f t="shared" si="22"/>
        <v>0</v>
      </c>
      <c r="H231" s="187" t="e">
        <f t="shared" si="23"/>
        <v>#DIV/0!</v>
      </c>
    </row>
    <row r="232" spans="1:17" s="149" customFormat="1" ht="24.75" customHeight="1">
      <c r="A232" s="226" t="s">
        <v>229</v>
      </c>
      <c r="B232" s="176" t="s">
        <v>200</v>
      </c>
      <c r="C232" s="222"/>
      <c r="D232" s="165">
        <f>D234</f>
        <v>21.6</v>
      </c>
      <c r="E232" s="165">
        <f>E234</f>
        <v>125.9</v>
      </c>
      <c r="F232" s="165">
        <f>F234</f>
        <v>59.300000000000004</v>
      </c>
      <c r="G232" s="166">
        <f t="shared" si="22"/>
        <v>-66.599999999999994</v>
      </c>
      <c r="H232" s="166">
        <f t="shared" si="23"/>
        <v>47.10087370929309</v>
      </c>
      <c r="O232" s="245"/>
      <c r="P232" s="245"/>
      <c r="Q232" s="245"/>
    </row>
    <row r="233" spans="1:17" ht="24.75" customHeight="1">
      <c r="B233" s="169" t="s">
        <v>85</v>
      </c>
      <c r="D233" s="170"/>
      <c r="E233" s="170"/>
      <c r="F233" s="165"/>
      <c r="G233" s="166"/>
      <c r="H233" s="166"/>
      <c r="M233" s="163"/>
    </row>
    <row r="234" spans="1:17" ht="24.75" customHeight="1">
      <c r="A234" s="171" t="s">
        <v>231</v>
      </c>
      <c r="B234" s="225" t="s">
        <v>12</v>
      </c>
      <c r="C234" s="222">
        <v>1030</v>
      </c>
      <c r="D234" s="174">
        <f>D235</f>
        <v>21.6</v>
      </c>
      <c r="E234" s="174">
        <f>E235</f>
        <v>125.9</v>
      </c>
      <c r="F234" s="174">
        <f>F235</f>
        <v>59.300000000000004</v>
      </c>
      <c r="G234" s="196">
        <f t="shared" si="22"/>
        <v>-66.599999999999994</v>
      </c>
      <c r="H234" s="196">
        <f t="shared" si="23"/>
        <v>47.10087370929309</v>
      </c>
    </row>
    <row r="235" spans="1:17" s="149" customFormat="1" ht="24.75" customHeight="1">
      <c r="A235" s="226" t="s">
        <v>232</v>
      </c>
      <c r="B235" s="247" t="s">
        <v>92</v>
      </c>
      <c r="C235" s="177">
        <v>1035</v>
      </c>
      <c r="D235" s="165">
        <f>D236+D237+D238</f>
        <v>21.6</v>
      </c>
      <c r="E235" s="165">
        <f>SUM(E236:E238)</f>
        <v>125.9</v>
      </c>
      <c r="F235" s="165">
        <f>SUM(F236:F238)</f>
        <v>59.300000000000004</v>
      </c>
      <c r="G235" s="166">
        <f t="shared" ref="G235:G298" si="24">F235-E235</f>
        <v>-66.599999999999994</v>
      </c>
      <c r="H235" s="166">
        <f t="shared" ref="H235:H298" si="25">(F235/E235)*100</f>
        <v>47.10087370929309</v>
      </c>
      <c r="O235" s="245"/>
      <c r="P235" s="245"/>
      <c r="Q235" s="245"/>
    </row>
    <row r="236" spans="1:17" ht="24.75" customHeight="1">
      <c r="A236" s="229"/>
      <c r="B236" s="180" t="s">
        <v>174</v>
      </c>
      <c r="C236" s="181"/>
      <c r="D236" s="170">
        <v>6.2</v>
      </c>
      <c r="E236" s="170">
        <v>43</v>
      </c>
      <c r="F236" s="170">
        <f>7.5-0.9</f>
        <v>6.6</v>
      </c>
      <c r="G236" s="182">
        <f t="shared" si="24"/>
        <v>-36.4</v>
      </c>
      <c r="H236" s="182">
        <f t="shared" si="25"/>
        <v>15.348837209302324</v>
      </c>
    </row>
    <row r="237" spans="1:17" ht="26.25" customHeight="1">
      <c r="A237" s="226"/>
      <c r="B237" s="180" t="s">
        <v>175</v>
      </c>
      <c r="C237" s="181"/>
      <c r="D237" s="170">
        <v>1.2</v>
      </c>
      <c r="E237" s="170">
        <v>3</v>
      </c>
      <c r="F237" s="170">
        <f>3.6-1.2</f>
        <v>2.4000000000000004</v>
      </c>
      <c r="G237" s="182">
        <f t="shared" si="24"/>
        <v>-0.59999999999999964</v>
      </c>
      <c r="H237" s="182">
        <f t="shared" si="25"/>
        <v>80.000000000000014</v>
      </c>
    </row>
    <row r="238" spans="1:17" ht="26.25" customHeight="1">
      <c r="B238" s="180" t="s">
        <v>176</v>
      </c>
      <c r="C238" s="186"/>
      <c r="D238" s="170">
        <v>14.2</v>
      </c>
      <c r="E238" s="170">
        <v>79.900000000000006</v>
      </c>
      <c r="F238" s="170">
        <f>55.1-4.8</f>
        <v>50.300000000000004</v>
      </c>
      <c r="G238" s="182">
        <f t="shared" si="24"/>
        <v>-29.6</v>
      </c>
      <c r="H238" s="182">
        <f t="shared" si="25"/>
        <v>62.95369211514393</v>
      </c>
    </row>
    <row r="239" spans="1:17" s="149" customFormat="1" ht="26.25" customHeight="1">
      <c r="A239" s="226" t="s">
        <v>525</v>
      </c>
      <c r="B239" s="176" t="s">
        <v>371</v>
      </c>
      <c r="C239" s="222"/>
      <c r="D239" s="165">
        <f>D241</f>
        <v>4.0999999999999996</v>
      </c>
      <c r="E239" s="165"/>
      <c r="F239" s="165">
        <f>F241</f>
        <v>6.9</v>
      </c>
      <c r="G239" s="166">
        <f t="shared" si="24"/>
        <v>6.9</v>
      </c>
      <c r="H239" s="187" t="e">
        <f t="shared" si="25"/>
        <v>#DIV/0!</v>
      </c>
      <c r="O239" s="245"/>
      <c r="P239" s="245"/>
      <c r="Q239" s="245"/>
    </row>
    <row r="240" spans="1:17" ht="26.25" customHeight="1">
      <c r="B240" s="169" t="s">
        <v>85</v>
      </c>
      <c r="D240" s="170"/>
      <c r="E240" s="170"/>
      <c r="F240" s="170"/>
      <c r="G240" s="166"/>
      <c r="H240" s="187"/>
    </row>
    <row r="241" spans="1:17" ht="26.25" customHeight="1">
      <c r="A241" s="171" t="s">
        <v>526</v>
      </c>
      <c r="B241" s="225" t="s">
        <v>12</v>
      </c>
      <c r="C241" s="222">
        <v>1030</v>
      </c>
      <c r="D241" s="248">
        <f>D242</f>
        <v>4.0999999999999996</v>
      </c>
      <c r="E241" s="174"/>
      <c r="F241" s="174">
        <f>F242</f>
        <v>6.9</v>
      </c>
      <c r="G241" s="196">
        <f t="shared" si="24"/>
        <v>6.9</v>
      </c>
      <c r="H241" s="200" t="e">
        <f t="shared" si="25"/>
        <v>#DIV/0!</v>
      </c>
    </row>
    <row r="242" spans="1:17" s="149" customFormat="1" ht="26.25" customHeight="1">
      <c r="A242" s="226" t="s">
        <v>527</v>
      </c>
      <c r="B242" s="247" t="s">
        <v>92</v>
      </c>
      <c r="C242" s="177">
        <v>1035</v>
      </c>
      <c r="D242" s="165">
        <f>D243+D244+D245</f>
        <v>4.0999999999999996</v>
      </c>
      <c r="E242" s="165"/>
      <c r="F242" s="165">
        <f>F243+F244+F245</f>
        <v>6.9</v>
      </c>
      <c r="G242" s="166">
        <f t="shared" si="24"/>
        <v>6.9</v>
      </c>
      <c r="H242" s="187" t="e">
        <f t="shared" si="25"/>
        <v>#DIV/0!</v>
      </c>
      <c r="O242" s="245"/>
      <c r="P242" s="245"/>
      <c r="Q242" s="245"/>
    </row>
    <row r="243" spans="1:17" ht="26.25" customHeight="1">
      <c r="A243" s="229"/>
      <c r="B243" s="180" t="s">
        <v>174</v>
      </c>
      <c r="C243" s="181"/>
      <c r="D243" s="170">
        <v>1.5</v>
      </c>
      <c r="E243" s="170"/>
      <c r="F243" s="170">
        <v>0.9</v>
      </c>
      <c r="G243" s="182">
        <f t="shared" si="24"/>
        <v>0.9</v>
      </c>
      <c r="H243" s="185" t="e">
        <f t="shared" si="25"/>
        <v>#DIV/0!</v>
      </c>
    </row>
    <row r="244" spans="1:17" ht="26.25" customHeight="1">
      <c r="A244" s="226"/>
      <c r="B244" s="180" t="s">
        <v>175</v>
      </c>
      <c r="C244" s="181"/>
      <c r="D244" s="170">
        <v>0.6</v>
      </c>
      <c r="E244" s="170"/>
      <c r="F244" s="170">
        <v>1.2</v>
      </c>
      <c r="G244" s="182">
        <f t="shared" si="24"/>
        <v>1.2</v>
      </c>
      <c r="H244" s="185" t="e">
        <f t="shared" si="25"/>
        <v>#DIV/0!</v>
      </c>
    </row>
    <row r="245" spans="1:17" ht="24.75" customHeight="1">
      <c r="B245" s="180" t="s">
        <v>176</v>
      </c>
      <c r="C245" s="160"/>
      <c r="D245" s="170">
        <v>2</v>
      </c>
      <c r="E245" s="165"/>
      <c r="F245" s="170">
        <v>4.8</v>
      </c>
      <c r="G245" s="182">
        <f t="shared" si="24"/>
        <v>4.8</v>
      </c>
      <c r="H245" s="185" t="e">
        <f t="shared" si="25"/>
        <v>#DIV/0!</v>
      </c>
    </row>
    <row r="246" spans="1:17" s="149" customFormat="1" ht="24.75" customHeight="1">
      <c r="A246" s="226" t="s">
        <v>393</v>
      </c>
      <c r="B246" s="223" t="s">
        <v>201</v>
      </c>
      <c r="C246" s="160"/>
      <c r="D246" s="165">
        <f>D248+D251</f>
        <v>21.1</v>
      </c>
      <c r="E246" s="165">
        <f>E248+E251</f>
        <v>17.899999999999999</v>
      </c>
      <c r="F246" s="165">
        <f>F248+F251</f>
        <v>38.799999999999997</v>
      </c>
      <c r="G246" s="166">
        <f t="shared" si="24"/>
        <v>20.9</v>
      </c>
      <c r="H246" s="166">
        <f t="shared" si="25"/>
        <v>216.75977653631287</v>
      </c>
      <c r="O246" s="245"/>
      <c r="P246" s="245"/>
      <c r="Q246" s="245"/>
    </row>
    <row r="247" spans="1:17" ht="24.75" customHeight="1">
      <c r="B247" s="169" t="s">
        <v>85</v>
      </c>
      <c r="D247" s="170"/>
      <c r="E247" s="170"/>
      <c r="F247" s="170"/>
      <c r="G247" s="166"/>
      <c r="H247" s="166"/>
    </row>
    <row r="248" spans="1:17" ht="24.75" customHeight="1">
      <c r="A248" s="171" t="s">
        <v>394</v>
      </c>
      <c r="B248" s="244" t="s">
        <v>89</v>
      </c>
      <c r="C248" s="173">
        <v>1010</v>
      </c>
      <c r="D248" s="248">
        <f t="shared" ref="D248:F249" si="26">D249</f>
        <v>18.600000000000001</v>
      </c>
      <c r="E248" s="174">
        <f t="shared" si="26"/>
        <v>16</v>
      </c>
      <c r="F248" s="174">
        <f t="shared" si="26"/>
        <v>36.799999999999997</v>
      </c>
      <c r="G248" s="196">
        <f t="shared" si="24"/>
        <v>20.799999999999997</v>
      </c>
      <c r="H248" s="196">
        <f t="shared" si="25"/>
        <v>229.99999999999997</v>
      </c>
    </row>
    <row r="249" spans="1:17" ht="24.75" customHeight="1">
      <c r="A249" s="226" t="s">
        <v>395</v>
      </c>
      <c r="B249" s="176" t="s">
        <v>97</v>
      </c>
      <c r="C249" s="160">
        <v>1015</v>
      </c>
      <c r="D249" s="165">
        <f t="shared" si="26"/>
        <v>18.600000000000001</v>
      </c>
      <c r="E249" s="165">
        <f t="shared" si="26"/>
        <v>16</v>
      </c>
      <c r="F249" s="165">
        <f t="shared" si="26"/>
        <v>36.799999999999997</v>
      </c>
      <c r="G249" s="166">
        <f t="shared" si="24"/>
        <v>20.799999999999997</v>
      </c>
      <c r="H249" s="166">
        <f t="shared" si="25"/>
        <v>229.99999999999997</v>
      </c>
    </row>
    <row r="250" spans="1:17" ht="24.75" customHeight="1">
      <c r="B250" s="180" t="s">
        <v>202</v>
      </c>
      <c r="D250" s="170">
        <v>18.600000000000001</v>
      </c>
      <c r="E250" s="170">
        <v>16</v>
      </c>
      <c r="F250" s="170">
        <v>36.799999999999997</v>
      </c>
      <c r="G250" s="182">
        <f t="shared" si="24"/>
        <v>20.799999999999997</v>
      </c>
      <c r="H250" s="182">
        <f t="shared" si="25"/>
        <v>229.99999999999997</v>
      </c>
    </row>
    <row r="251" spans="1:17" ht="24.75" customHeight="1">
      <c r="A251" s="171" t="s">
        <v>396</v>
      </c>
      <c r="B251" s="199" t="s">
        <v>91</v>
      </c>
      <c r="C251" s="173">
        <v>1020</v>
      </c>
      <c r="D251" s="174">
        <f t="shared" ref="D251:F252" si="27">D252</f>
        <v>2.5</v>
      </c>
      <c r="E251" s="174">
        <f t="shared" si="27"/>
        <v>1.9</v>
      </c>
      <c r="F251" s="174">
        <f t="shared" si="27"/>
        <v>2</v>
      </c>
      <c r="G251" s="196">
        <f t="shared" si="24"/>
        <v>0.10000000000000009</v>
      </c>
      <c r="H251" s="196">
        <f t="shared" si="25"/>
        <v>105.26315789473684</v>
      </c>
    </row>
    <row r="252" spans="1:17" ht="24.75" customHeight="1">
      <c r="A252" s="226" t="s">
        <v>397</v>
      </c>
      <c r="B252" s="223" t="s">
        <v>179</v>
      </c>
      <c r="C252" s="177">
        <v>1025</v>
      </c>
      <c r="D252" s="165">
        <f t="shared" si="27"/>
        <v>2.5</v>
      </c>
      <c r="E252" s="165">
        <f t="shared" si="27"/>
        <v>1.9</v>
      </c>
      <c r="F252" s="165">
        <f t="shared" si="27"/>
        <v>2</v>
      </c>
      <c r="G252" s="166">
        <f t="shared" si="24"/>
        <v>0.10000000000000009</v>
      </c>
      <c r="H252" s="166">
        <f t="shared" si="25"/>
        <v>105.26315789473684</v>
      </c>
    </row>
    <row r="253" spans="1:17" ht="24.75" customHeight="1">
      <c r="B253" s="212" t="s">
        <v>203</v>
      </c>
      <c r="C253" s="177"/>
      <c r="D253" s="170">
        <v>2.5</v>
      </c>
      <c r="E253" s="170">
        <v>1.9</v>
      </c>
      <c r="F253" s="170">
        <v>2</v>
      </c>
      <c r="G253" s="182">
        <f t="shared" si="24"/>
        <v>0.10000000000000009</v>
      </c>
      <c r="H253" s="182">
        <f t="shared" si="25"/>
        <v>105.26315789473684</v>
      </c>
    </row>
    <row r="254" spans="1:17" ht="24.75" customHeight="1">
      <c r="A254" s="226" t="s">
        <v>398</v>
      </c>
      <c r="B254" s="249" t="s">
        <v>275</v>
      </c>
      <c r="C254" s="160"/>
      <c r="D254" s="170">
        <f>D256</f>
        <v>5.3</v>
      </c>
      <c r="E254" s="170"/>
      <c r="F254" s="165">
        <f>F256</f>
        <v>16.600000000000001</v>
      </c>
      <c r="G254" s="182">
        <f t="shared" si="24"/>
        <v>16.600000000000001</v>
      </c>
      <c r="H254" s="185" t="e">
        <f t="shared" si="25"/>
        <v>#DIV/0!</v>
      </c>
    </row>
    <row r="255" spans="1:17" ht="24.75" customHeight="1">
      <c r="A255" s="226"/>
      <c r="B255" s="235" t="s">
        <v>85</v>
      </c>
      <c r="D255" s="170"/>
      <c r="E255" s="170"/>
      <c r="F255" s="170"/>
      <c r="G255" s="182"/>
      <c r="H255" s="185"/>
    </row>
    <row r="256" spans="1:17" ht="24.75" customHeight="1">
      <c r="A256" s="171" t="s">
        <v>399</v>
      </c>
      <c r="B256" s="199" t="s">
        <v>92</v>
      </c>
      <c r="C256" s="173">
        <v>1030</v>
      </c>
      <c r="D256" s="170">
        <f>D257</f>
        <v>5.3</v>
      </c>
      <c r="E256" s="170"/>
      <c r="F256" s="170">
        <f>F257</f>
        <v>16.600000000000001</v>
      </c>
      <c r="G256" s="182">
        <f t="shared" si="24"/>
        <v>16.600000000000001</v>
      </c>
      <c r="H256" s="185" t="e">
        <f t="shared" si="25"/>
        <v>#DIV/0!</v>
      </c>
    </row>
    <row r="257" spans="1:11" ht="24.75" customHeight="1">
      <c r="A257" s="231" t="s">
        <v>400</v>
      </c>
      <c r="B257" s="169" t="s">
        <v>92</v>
      </c>
      <c r="C257" s="214">
        <v>1035</v>
      </c>
      <c r="D257" s="170">
        <v>5.3</v>
      </c>
      <c r="E257" s="170"/>
      <c r="F257" s="170">
        <f>F258</f>
        <v>16.600000000000001</v>
      </c>
      <c r="G257" s="182">
        <f t="shared" si="24"/>
        <v>16.600000000000001</v>
      </c>
      <c r="H257" s="185" t="e">
        <f t="shared" si="25"/>
        <v>#DIV/0!</v>
      </c>
    </row>
    <row r="258" spans="1:11" ht="24.75" customHeight="1">
      <c r="B258" s="212" t="s">
        <v>247</v>
      </c>
      <c r="C258" s="203"/>
      <c r="D258" s="148">
        <v>5.3</v>
      </c>
      <c r="E258" s="165"/>
      <c r="F258" s="170">
        <f>14.8+1.8</f>
        <v>16.600000000000001</v>
      </c>
      <c r="G258" s="182">
        <f t="shared" si="24"/>
        <v>16.600000000000001</v>
      </c>
      <c r="H258" s="185" t="e">
        <f t="shared" si="25"/>
        <v>#DIV/0!</v>
      </c>
    </row>
    <row r="259" spans="1:11" ht="24.75" customHeight="1">
      <c r="A259" s="226" t="s">
        <v>237</v>
      </c>
      <c r="B259" s="250" t="s">
        <v>226</v>
      </c>
      <c r="C259" s="155"/>
      <c r="D259" s="165">
        <f>D261+D277+D282</f>
        <v>1802.8999999999999</v>
      </c>
      <c r="E259" s="170">
        <f>E261</f>
        <v>0</v>
      </c>
      <c r="F259" s="165">
        <f>F261+F277+F282</f>
        <v>2133.3000000000002</v>
      </c>
      <c r="G259" s="166">
        <f t="shared" si="24"/>
        <v>2133.3000000000002</v>
      </c>
      <c r="H259" s="187" t="e">
        <f t="shared" si="25"/>
        <v>#DIV/0!</v>
      </c>
    </row>
    <row r="260" spans="1:11" ht="24.75" customHeight="1">
      <c r="A260" s="229"/>
      <c r="B260" s="169" t="s">
        <v>85</v>
      </c>
      <c r="D260" s="170"/>
      <c r="E260" s="170"/>
      <c r="F260" s="170"/>
      <c r="G260" s="166"/>
      <c r="H260" s="166"/>
    </row>
    <row r="261" spans="1:11" ht="24.75" customHeight="1">
      <c r="A261" s="171" t="s">
        <v>239</v>
      </c>
      <c r="B261" s="199" t="s">
        <v>89</v>
      </c>
      <c r="C261" s="173">
        <v>1010</v>
      </c>
      <c r="D261" s="174">
        <f>D262+D269</f>
        <v>1741.8999999999999</v>
      </c>
      <c r="E261" s="174"/>
      <c r="F261" s="174">
        <f>F262+F269</f>
        <v>2043.1000000000001</v>
      </c>
      <c r="G261" s="196">
        <f t="shared" si="24"/>
        <v>2043.1000000000001</v>
      </c>
      <c r="H261" s="200" t="e">
        <f t="shared" si="25"/>
        <v>#DIV/0!</v>
      </c>
    </row>
    <row r="262" spans="1:11" ht="24.75" customHeight="1">
      <c r="A262" s="226" t="s">
        <v>240</v>
      </c>
      <c r="B262" s="211" t="s">
        <v>106</v>
      </c>
      <c r="C262" s="177">
        <v>1011</v>
      </c>
      <c r="D262" s="165">
        <f>SUM(D263:D268)</f>
        <v>1459.8999999999999</v>
      </c>
      <c r="E262" s="165"/>
      <c r="F262" s="165">
        <f>SUM(F263:F268)</f>
        <v>1815.4</v>
      </c>
      <c r="G262" s="166">
        <f t="shared" si="24"/>
        <v>1815.4</v>
      </c>
      <c r="H262" s="187" t="e">
        <f t="shared" si="25"/>
        <v>#DIV/0!</v>
      </c>
      <c r="J262" s="148">
        <v>1815.4</v>
      </c>
      <c r="K262" s="149">
        <v>1459.9</v>
      </c>
    </row>
    <row r="263" spans="1:11" ht="24.75" customHeight="1">
      <c r="A263" s="226"/>
      <c r="B263" s="184" t="s">
        <v>181</v>
      </c>
      <c r="C263" s="251"/>
      <c r="D263" s="170">
        <v>0.9</v>
      </c>
      <c r="E263" s="170"/>
      <c r="F263" s="170">
        <v>0.9</v>
      </c>
      <c r="G263" s="182">
        <f t="shared" si="24"/>
        <v>0.9</v>
      </c>
      <c r="H263" s="185" t="e">
        <f t="shared" si="25"/>
        <v>#DIV/0!</v>
      </c>
    </row>
    <row r="264" spans="1:11" ht="24.75" customHeight="1">
      <c r="A264" s="226"/>
      <c r="B264" s="212" t="s">
        <v>215</v>
      </c>
      <c r="C264" s="251"/>
      <c r="D264" s="170">
        <v>1378.6</v>
      </c>
      <c r="E264" s="170"/>
      <c r="F264" s="170">
        <f>67.9+862.7+8.5+672.9</f>
        <v>1612</v>
      </c>
      <c r="G264" s="182">
        <f t="shared" si="24"/>
        <v>1612</v>
      </c>
      <c r="H264" s="185" t="e">
        <f t="shared" si="25"/>
        <v>#DIV/0!</v>
      </c>
    </row>
    <row r="265" spans="1:11" ht="25.5" customHeight="1">
      <c r="A265" s="226"/>
      <c r="B265" s="212" t="s">
        <v>140</v>
      </c>
      <c r="C265" s="251"/>
      <c r="D265" s="170">
        <v>22.8</v>
      </c>
      <c r="E265" s="170"/>
      <c r="F265" s="170">
        <f>43.3+108.8</f>
        <v>152.1</v>
      </c>
      <c r="G265" s="182">
        <f t="shared" si="24"/>
        <v>152.1</v>
      </c>
      <c r="H265" s="185" t="e">
        <f t="shared" si="25"/>
        <v>#DIV/0!</v>
      </c>
    </row>
    <row r="266" spans="1:11" ht="39.75" customHeight="1">
      <c r="A266" s="226"/>
      <c r="B266" s="180" t="s">
        <v>216</v>
      </c>
      <c r="C266" s="251"/>
      <c r="D266" s="170">
        <v>50.3</v>
      </c>
      <c r="E266" s="170"/>
      <c r="F266" s="170">
        <v>50.4</v>
      </c>
      <c r="G266" s="182">
        <f t="shared" si="24"/>
        <v>50.4</v>
      </c>
      <c r="H266" s="185" t="e">
        <f t="shared" si="25"/>
        <v>#DIV/0!</v>
      </c>
    </row>
    <row r="267" spans="1:11" ht="27" customHeight="1">
      <c r="A267" s="226"/>
      <c r="B267" s="180" t="s">
        <v>417</v>
      </c>
      <c r="C267" s="251"/>
      <c r="D267" s="170">
        <v>6.5</v>
      </c>
      <c r="E267" s="170"/>
      <c r="F267" s="170"/>
      <c r="G267" s="182">
        <f t="shared" si="24"/>
        <v>0</v>
      </c>
      <c r="H267" s="185" t="e">
        <f t="shared" si="25"/>
        <v>#DIV/0!</v>
      </c>
    </row>
    <row r="268" spans="1:11" ht="24.75" customHeight="1">
      <c r="B268" s="180" t="s">
        <v>165</v>
      </c>
      <c r="D268" s="158">
        <v>0.8</v>
      </c>
      <c r="E268" s="170"/>
      <c r="F268" s="170"/>
      <c r="G268" s="182">
        <f t="shared" si="24"/>
        <v>0</v>
      </c>
      <c r="H268" s="185" t="e">
        <f t="shared" si="25"/>
        <v>#DIV/0!</v>
      </c>
    </row>
    <row r="269" spans="1:11" ht="24.75" customHeight="1">
      <c r="A269" s="226" t="s">
        <v>401</v>
      </c>
      <c r="B269" s="228" t="s">
        <v>97</v>
      </c>
      <c r="C269" s="160">
        <v>1015</v>
      </c>
      <c r="D269" s="165">
        <f>SUM(D270:D276)</f>
        <v>282</v>
      </c>
      <c r="E269" s="165">
        <f>SUM(E270:E276)</f>
        <v>0</v>
      </c>
      <c r="F269" s="165">
        <f>SUM(F270:F276)</f>
        <v>227.7</v>
      </c>
      <c r="G269" s="166">
        <f t="shared" si="24"/>
        <v>227.7</v>
      </c>
      <c r="H269" s="187" t="e">
        <f t="shared" si="25"/>
        <v>#DIV/0!</v>
      </c>
    </row>
    <row r="270" spans="1:11" ht="24.75" customHeight="1">
      <c r="A270" s="226"/>
      <c r="B270" s="230" t="s">
        <v>147</v>
      </c>
      <c r="C270" s="160"/>
      <c r="D270" s="170">
        <v>8.1999999999999993</v>
      </c>
      <c r="E270" s="170"/>
      <c r="F270" s="170"/>
      <c r="G270" s="182">
        <f t="shared" si="24"/>
        <v>0</v>
      </c>
      <c r="H270" s="185" t="e">
        <f t="shared" si="25"/>
        <v>#DIV/0!</v>
      </c>
    </row>
    <row r="271" spans="1:11" ht="24.75" customHeight="1">
      <c r="A271" s="226"/>
      <c r="B271" s="230" t="s">
        <v>151</v>
      </c>
      <c r="C271" s="160"/>
      <c r="D271" s="170">
        <v>4.3</v>
      </c>
      <c r="E271" s="170"/>
      <c r="F271" s="170">
        <v>2.1</v>
      </c>
      <c r="G271" s="182">
        <f t="shared" si="24"/>
        <v>2.1</v>
      </c>
      <c r="H271" s="185" t="e">
        <f t="shared" si="25"/>
        <v>#DIV/0!</v>
      </c>
    </row>
    <row r="272" spans="1:11" ht="24.75" customHeight="1">
      <c r="A272" s="226"/>
      <c r="B272" s="230" t="s">
        <v>202</v>
      </c>
      <c r="C272" s="160"/>
      <c r="D272" s="170">
        <v>21.8</v>
      </c>
      <c r="E272" s="170"/>
      <c r="F272" s="170">
        <v>2.6</v>
      </c>
      <c r="G272" s="182">
        <f t="shared" si="24"/>
        <v>2.6</v>
      </c>
      <c r="H272" s="185" t="e">
        <f t="shared" si="25"/>
        <v>#DIV/0!</v>
      </c>
    </row>
    <row r="273" spans="1:17" ht="24.75" customHeight="1">
      <c r="A273" s="226"/>
      <c r="B273" s="230" t="s">
        <v>153</v>
      </c>
      <c r="C273" s="160"/>
      <c r="D273" s="170"/>
      <c r="E273" s="170"/>
      <c r="F273" s="170">
        <v>1.9</v>
      </c>
      <c r="G273" s="182">
        <f t="shared" si="24"/>
        <v>1.9</v>
      </c>
      <c r="H273" s="185" t="e">
        <f t="shared" si="25"/>
        <v>#DIV/0!</v>
      </c>
    </row>
    <row r="274" spans="1:17" ht="24.75" customHeight="1">
      <c r="A274" s="226"/>
      <c r="B274" s="230" t="s">
        <v>174</v>
      </c>
      <c r="C274" s="160"/>
      <c r="D274" s="170"/>
      <c r="E274" s="170"/>
      <c r="F274" s="170">
        <v>4.9000000000000004</v>
      </c>
      <c r="G274" s="182">
        <f t="shared" si="24"/>
        <v>4.9000000000000004</v>
      </c>
      <c r="H274" s="185" t="e">
        <f t="shared" si="25"/>
        <v>#DIV/0!</v>
      </c>
    </row>
    <row r="275" spans="1:17" ht="24.75" customHeight="1">
      <c r="A275" s="226"/>
      <c r="B275" s="230" t="s">
        <v>294</v>
      </c>
      <c r="C275" s="155"/>
      <c r="D275" s="170">
        <v>1.4</v>
      </c>
      <c r="E275" s="170"/>
      <c r="F275" s="170">
        <v>2.1</v>
      </c>
      <c r="G275" s="182">
        <f t="shared" si="24"/>
        <v>2.1</v>
      </c>
      <c r="H275" s="185" t="e">
        <f t="shared" si="25"/>
        <v>#DIV/0!</v>
      </c>
    </row>
    <row r="276" spans="1:17" ht="24.75" customHeight="1">
      <c r="B276" s="180" t="s">
        <v>169</v>
      </c>
      <c r="D276" s="170">
        <v>246.3</v>
      </c>
      <c r="E276" s="170"/>
      <c r="F276" s="170">
        <f>147.5+152-85.4</f>
        <v>214.1</v>
      </c>
      <c r="G276" s="182">
        <f t="shared" si="24"/>
        <v>214.1</v>
      </c>
      <c r="H276" s="185" t="e">
        <f t="shared" si="25"/>
        <v>#DIV/0!</v>
      </c>
    </row>
    <row r="277" spans="1:17" ht="24.75" customHeight="1">
      <c r="A277" s="171" t="s">
        <v>242</v>
      </c>
      <c r="B277" s="199" t="s">
        <v>91</v>
      </c>
      <c r="C277" s="173">
        <v>1020</v>
      </c>
      <c r="D277" s="174">
        <f>D278</f>
        <v>60.699999999999996</v>
      </c>
      <c r="E277" s="174">
        <f>E278</f>
        <v>0</v>
      </c>
      <c r="F277" s="174">
        <f>F278</f>
        <v>90.2</v>
      </c>
      <c r="G277" s="196">
        <f t="shared" si="24"/>
        <v>90.2</v>
      </c>
      <c r="H277" s="200" t="e">
        <f t="shared" si="25"/>
        <v>#DIV/0!</v>
      </c>
    </row>
    <row r="278" spans="1:17" ht="24.75" customHeight="1">
      <c r="A278" s="226" t="s">
        <v>243</v>
      </c>
      <c r="B278" s="223" t="s">
        <v>179</v>
      </c>
      <c r="C278" s="177">
        <v>1025</v>
      </c>
      <c r="D278" s="165">
        <f>SUM(D279:D281)</f>
        <v>60.699999999999996</v>
      </c>
      <c r="E278" s="165">
        <f>SUM(E279:E281)</f>
        <v>0</v>
      </c>
      <c r="F278" s="165">
        <f>SUM(F279:F281)</f>
        <v>90.2</v>
      </c>
      <c r="G278" s="166">
        <f t="shared" si="24"/>
        <v>90.2</v>
      </c>
      <c r="H278" s="187" t="e">
        <f t="shared" si="25"/>
        <v>#DIV/0!</v>
      </c>
    </row>
    <row r="279" spans="1:17" ht="24.75" customHeight="1">
      <c r="A279" s="226"/>
      <c r="B279" s="180" t="s">
        <v>170</v>
      </c>
      <c r="C279" s="155"/>
      <c r="D279" s="170">
        <v>1.4</v>
      </c>
      <c r="E279" s="170"/>
      <c r="F279" s="170">
        <v>4.8</v>
      </c>
      <c r="G279" s="182">
        <f t="shared" si="24"/>
        <v>4.8</v>
      </c>
      <c r="H279" s="185" t="e">
        <f t="shared" si="25"/>
        <v>#DIV/0!</v>
      </c>
    </row>
    <row r="280" spans="1:17" ht="24.75" customHeight="1">
      <c r="A280" s="226"/>
      <c r="B280" s="180" t="s">
        <v>218</v>
      </c>
      <c r="C280" s="155"/>
      <c r="D280" s="170">
        <v>58.9</v>
      </c>
      <c r="E280" s="170"/>
      <c r="F280" s="170">
        <v>85.4</v>
      </c>
      <c r="G280" s="182">
        <f t="shared" si="24"/>
        <v>85.4</v>
      </c>
      <c r="H280" s="185" t="e">
        <f t="shared" si="25"/>
        <v>#DIV/0!</v>
      </c>
    </row>
    <row r="281" spans="1:17" ht="24.75" customHeight="1">
      <c r="B281" s="180" t="s">
        <v>271</v>
      </c>
      <c r="D281" s="170">
        <v>0.4</v>
      </c>
      <c r="E281" s="170"/>
      <c r="F281" s="170"/>
      <c r="G281" s="182">
        <f t="shared" si="24"/>
        <v>0</v>
      </c>
      <c r="H281" s="185" t="e">
        <f t="shared" si="25"/>
        <v>#DIV/0!</v>
      </c>
    </row>
    <row r="282" spans="1:17" ht="24.75" customHeight="1">
      <c r="A282" s="171" t="s">
        <v>402</v>
      </c>
      <c r="B282" s="199" t="s">
        <v>92</v>
      </c>
      <c r="C282" s="173">
        <v>1030</v>
      </c>
      <c r="D282" s="174">
        <f>D283</f>
        <v>0.3</v>
      </c>
      <c r="E282" s="174"/>
      <c r="F282" s="174"/>
      <c r="G282" s="196">
        <f t="shared" si="24"/>
        <v>0</v>
      </c>
      <c r="H282" s="200" t="e">
        <f t="shared" si="25"/>
        <v>#DIV/0!</v>
      </c>
    </row>
    <row r="283" spans="1:17" ht="24.75" customHeight="1">
      <c r="A283" s="226" t="s">
        <v>403</v>
      </c>
      <c r="B283" s="202" t="s">
        <v>92</v>
      </c>
      <c r="C283" s="177">
        <v>1035</v>
      </c>
      <c r="D283" s="165">
        <f>D284</f>
        <v>0.3</v>
      </c>
      <c r="E283" s="165"/>
      <c r="F283" s="165"/>
      <c r="G283" s="166">
        <f t="shared" si="24"/>
        <v>0</v>
      </c>
      <c r="H283" s="187" t="e">
        <f t="shared" si="25"/>
        <v>#DIV/0!</v>
      </c>
    </row>
    <row r="284" spans="1:17" ht="24.75" customHeight="1">
      <c r="B284" s="252" t="s">
        <v>267</v>
      </c>
      <c r="C284" s="160"/>
      <c r="D284" s="165">
        <v>0.3</v>
      </c>
      <c r="E284" s="165">
        <f>E286+E307</f>
        <v>0</v>
      </c>
      <c r="F284" s="165"/>
      <c r="G284" s="182">
        <f t="shared" si="24"/>
        <v>0</v>
      </c>
      <c r="H284" s="185" t="e">
        <f t="shared" si="25"/>
        <v>#DIV/0!</v>
      </c>
    </row>
    <row r="285" spans="1:17" s="149" customFormat="1" ht="24.75" customHeight="1">
      <c r="A285" s="226" t="s">
        <v>244</v>
      </c>
      <c r="B285" s="176" t="s">
        <v>230</v>
      </c>
      <c r="C285" s="160"/>
      <c r="D285" s="165">
        <f>D287+D308</f>
        <v>143.6</v>
      </c>
      <c r="E285" s="165">
        <f>E287+E308</f>
        <v>0</v>
      </c>
      <c r="F285" s="165">
        <f>F287+F308</f>
        <v>392</v>
      </c>
      <c r="G285" s="166">
        <f t="shared" si="24"/>
        <v>392</v>
      </c>
      <c r="H285" s="187" t="e">
        <f t="shared" si="25"/>
        <v>#DIV/0!</v>
      </c>
      <c r="O285" s="245"/>
      <c r="P285" s="245"/>
      <c r="Q285" s="245"/>
    </row>
    <row r="286" spans="1:17" ht="24.75" customHeight="1">
      <c r="B286" s="253" t="s">
        <v>85</v>
      </c>
      <c r="D286" s="170"/>
      <c r="E286" s="170">
        <f>E287+E294+E295</f>
        <v>0</v>
      </c>
      <c r="F286" s="170"/>
      <c r="G286" s="182"/>
      <c r="H286" s="182"/>
    </row>
    <row r="287" spans="1:17" ht="24.75" customHeight="1">
      <c r="A287" s="171" t="s">
        <v>245</v>
      </c>
      <c r="B287" s="199" t="s">
        <v>89</v>
      </c>
      <c r="C287" s="173">
        <v>1010</v>
      </c>
      <c r="D287" s="174">
        <f>D288+D295+D296</f>
        <v>110.1</v>
      </c>
      <c r="E287" s="174">
        <f>E288+E295+E296</f>
        <v>0</v>
      </c>
      <c r="F287" s="174">
        <f>F288+F295+F296</f>
        <v>256.59999999999997</v>
      </c>
      <c r="G287" s="196">
        <f t="shared" si="24"/>
        <v>256.59999999999997</v>
      </c>
      <c r="H287" s="200" t="e">
        <f t="shared" si="25"/>
        <v>#DIV/0!</v>
      </c>
    </row>
    <row r="288" spans="1:17" ht="24.75" customHeight="1">
      <c r="A288" s="226" t="s">
        <v>246</v>
      </c>
      <c r="B288" s="211" t="s">
        <v>106</v>
      </c>
      <c r="C288" s="177">
        <v>1011</v>
      </c>
      <c r="D288" s="165">
        <f>SUM(D289:D294)</f>
        <v>75.5</v>
      </c>
      <c r="E288" s="165">
        <f>SUM(E289:E294)</f>
        <v>0</v>
      </c>
      <c r="F288" s="165">
        <f>SUM(F289:F294)</f>
        <v>172</v>
      </c>
      <c r="G288" s="166">
        <f t="shared" si="24"/>
        <v>172</v>
      </c>
      <c r="H288" s="187" t="e">
        <f t="shared" si="25"/>
        <v>#DIV/0!</v>
      </c>
    </row>
    <row r="289" spans="1:8" ht="24.75" customHeight="1">
      <c r="A289" s="229"/>
      <c r="B289" s="184" t="s">
        <v>181</v>
      </c>
      <c r="C289" s="177"/>
      <c r="D289" s="170"/>
      <c r="E289" s="170"/>
      <c r="F289" s="170">
        <v>5.3</v>
      </c>
      <c r="G289" s="182">
        <f t="shared" si="24"/>
        <v>5.3</v>
      </c>
      <c r="H289" s="185" t="e">
        <f t="shared" si="25"/>
        <v>#DIV/0!</v>
      </c>
    </row>
    <row r="290" spans="1:8" ht="24.75" customHeight="1">
      <c r="A290" s="229"/>
      <c r="B290" s="184" t="s">
        <v>233</v>
      </c>
      <c r="C290" s="177"/>
      <c r="D290" s="170">
        <v>1.1000000000000001</v>
      </c>
      <c r="E290" s="170"/>
      <c r="F290" s="170">
        <v>50.6</v>
      </c>
      <c r="G290" s="182">
        <f t="shared" si="24"/>
        <v>50.6</v>
      </c>
      <c r="H290" s="185" t="e">
        <f t="shared" si="25"/>
        <v>#DIV/0!</v>
      </c>
    </row>
    <row r="291" spans="1:8" ht="20.25" customHeight="1">
      <c r="A291" s="229"/>
      <c r="B291" s="184" t="s">
        <v>140</v>
      </c>
      <c r="C291" s="177"/>
      <c r="D291" s="170"/>
      <c r="E291" s="170"/>
      <c r="F291" s="170">
        <v>30.1</v>
      </c>
      <c r="G291" s="182">
        <f t="shared" si="24"/>
        <v>30.1</v>
      </c>
      <c r="H291" s="185" t="e">
        <f t="shared" si="25"/>
        <v>#DIV/0!</v>
      </c>
    </row>
    <row r="292" spans="1:8" ht="42" customHeight="1">
      <c r="A292" s="229"/>
      <c r="B292" s="180" t="s">
        <v>216</v>
      </c>
      <c r="C292" s="177"/>
      <c r="D292" s="170">
        <v>26.6</v>
      </c>
      <c r="E292" s="170"/>
      <c r="F292" s="170">
        <f>38+24.2</f>
        <v>62.2</v>
      </c>
      <c r="G292" s="182">
        <f t="shared" si="24"/>
        <v>62.2</v>
      </c>
      <c r="H292" s="185" t="e">
        <f t="shared" si="25"/>
        <v>#DIV/0!</v>
      </c>
    </row>
    <row r="293" spans="1:8" ht="45" customHeight="1">
      <c r="A293" s="229"/>
      <c r="B293" s="180" t="s">
        <v>421</v>
      </c>
      <c r="C293" s="177"/>
      <c r="D293" s="170">
        <v>11.9</v>
      </c>
      <c r="E293" s="170"/>
      <c r="F293" s="170"/>
      <c r="G293" s="182">
        <f t="shared" si="24"/>
        <v>0</v>
      </c>
      <c r="H293" s="185" t="e">
        <f t="shared" si="25"/>
        <v>#DIV/0!</v>
      </c>
    </row>
    <row r="294" spans="1:8" ht="24.75" customHeight="1">
      <c r="B294" s="180" t="s">
        <v>227</v>
      </c>
      <c r="D294" s="170">
        <v>35.9</v>
      </c>
      <c r="E294" s="170"/>
      <c r="F294" s="170">
        <f>12.9+10.9</f>
        <v>23.8</v>
      </c>
      <c r="G294" s="182">
        <f t="shared" si="24"/>
        <v>23.8</v>
      </c>
      <c r="H294" s="185" t="e">
        <f t="shared" si="25"/>
        <v>#DIV/0!</v>
      </c>
    </row>
    <row r="295" spans="1:8" ht="24.75" customHeight="1">
      <c r="A295" s="226" t="s">
        <v>404</v>
      </c>
      <c r="B295" s="223" t="s">
        <v>4</v>
      </c>
      <c r="C295" s="160">
        <v>1014</v>
      </c>
      <c r="D295" s="165">
        <v>25</v>
      </c>
      <c r="E295" s="165">
        <f>SUM(E296:E302)</f>
        <v>0</v>
      </c>
      <c r="F295" s="165">
        <v>24.7</v>
      </c>
      <c r="G295" s="166">
        <f t="shared" si="24"/>
        <v>24.7</v>
      </c>
      <c r="H295" s="187" t="e">
        <f t="shared" si="25"/>
        <v>#DIV/0!</v>
      </c>
    </row>
    <row r="296" spans="1:8" ht="24.75" customHeight="1">
      <c r="A296" s="226" t="s">
        <v>405</v>
      </c>
      <c r="B296" s="228" t="s">
        <v>97</v>
      </c>
      <c r="C296" s="160">
        <v>1015</v>
      </c>
      <c r="D296" s="165">
        <f>SUM(D297:D307)</f>
        <v>9.6</v>
      </c>
      <c r="E296" s="165">
        <f>SUM(E297:E307)</f>
        <v>0</v>
      </c>
      <c r="F296" s="165">
        <f>SUM(F297:F307)</f>
        <v>59.9</v>
      </c>
      <c r="G296" s="166">
        <f t="shared" si="24"/>
        <v>59.9</v>
      </c>
      <c r="H296" s="187" t="e">
        <f t="shared" si="25"/>
        <v>#DIV/0!</v>
      </c>
    </row>
    <row r="297" spans="1:8" ht="24.75" customHeight="1">
      <c r="A297" s="226"/>
      <c r="B297" s="180" t="s">
        <v>150</v>
      </c>
      <c r="C297" s="160"/>
      <c r="D297" s="170"/>
      <c r="E297" s="170"/>
      <c r="F297" s="170">
        <v>4.3</v>
      </c>
      <c r="G297" s="182">
        <f t="shared" si="24"/>
        <v>4.3</v>
      </c>
      <c r="H297" s="185" t="e">
        <f t="shared" si="25"/>
        <v>#DIV/0!</v>
      </c>
    </row>
    <row r="298" spans="1:8" ht="24.75" customHeight="1">
      <c r="A298" s="226"/>
      <c r="B298" s="180" t="s">
        <v>151</v>
      </c>
      <c r="C298" s="177"/>
      <c r="D298" s="170"/>
      <c r="E298" s="170"/>
      <c r="F298" s="170">
        <v>4.4000000000000004</v>
      </c>
      <c r="G298" s="182">
        <f t="shared" si="24"/>
        <v>4.4000000000000004</v>
      </c>
      <c r="H298" s="185" t="e">
        <f t="shared" si="25"/>
        <v>#DIV/0!</v>
      </c>
    </row>
    <row r="299" spans="1:8" ht="24.75" customHeight="1">
      <c r="A299" s="226"/>
      <c r="B299" s="180" t="s">
        <v>155</v>
      </c>
      <c r="C299" s="177"/>
      <c r="D299" s="170"/>
      <c r="E299" s="170"/>
      <c r="F299" s="170">
        <v>0.9</v>
      </c>
      <c r="G299" s="182">
        <f t="shared" ref="G299:G341" si="28">F299-E299</f>
        <v>0.9</v>
      </c>
      <c r="H299" s="185" t="e">
        <f t="shared" ref="H299:H341" si="29">(F299/E299)*100</f>
        <v>#DIV/0!</v>
      </c>
    </row>
    <row r="300" spans="1:8" ht="24.75" customHeight="1">
      <c r="A300" s="226"/>
      <c r="B300" s="180" t="s">
        <v>152</v>
      </c>
      <c r="C300" s="177"/>
      <c r="D300" s="170"/>
      <c r="E300" s="170"/>
      <c r="F300" s="170">
        <f>8+11.5</f>
        <v>19.5</v>
      </c>
      <c r="G300" s="182">
        <f t="shared" si="28"/>
        <v>19.5</v>
      </c>
      <c r="H300" s="185" t="e">
        <f t="shared" si="29"/>
        <v>#DIV/0!</v>
      </c>
    </row>
    <row r="301" spans="1:8" ht="24.75" customHeight="1">
      <c r="A301" s="226"/>
      <c r="B301" s="180" t="s">
        <v>183</v>
      </c>
      <c r="C301" s="177"/>
      <c r="D301" s="170">
        <v>7.1</v>
      </c>
      <c r="E301" s="170"/>
      <c r="F301" s="170">
        <v>12</v>
      </c>
      <c r="G301" s="182">
        <f t="shared" si="28"/>
        <v>12</v>
      </c>
      <c r="H301" s="185" t="e">
        <f t="shared" si="29"/>
        <v>#DIV/0!</v>
      </c>
    </row>
    <row r="302" spans="1:8" ht="24.75" customHeight="1">
      <c r="A302" s="226"/>
      <c r="B302" s="180" t="s">
        <v>261</v>
      </c>
      <c r="C302" s="177"/>
      <c r="D302" s="170">
        <v>1.8</v>
      </c>
      <c r="E302" s="170"/>
      <c r="F302" s="170">
        <v>1.2</v>
      </c>
      <c r="G302" s="182">
        <f t="shared" si="28"/>
        <v>1.2</v>
      </c>
      <c r="H302" s="185" t="e">
        <f t="shared" si="29"/>
        <v>#DIV/0!</v>
      </c>
    </row>
    <row r="303" spans="1:8" ht="27" customHeight="1">
      <c r="A303" s="226"/>
      <c r="B303" s="230" t="s">
        <v>234</v>
      </c>
      <c r="C303" s="177"/>
      <c r="D303" s="170"/>
      <c r="E303" s="170"/>
      <c r="F303" s="170">
        <v>6.9</v>
      </c>
      <c r="G303" s="182">
        <f t="shared" si="28"/>
        <v>6.9</v>
      </c>
      <c r="H303" s="185" t="e">
        <f t="shared" si="29"/>
        <v>#DIV/0!</v>
      </c>
    </row>
    <row r="304" spans="1:8" ht="30" customHeight="1">
      <c r="A304" s="226"/>
      <c r="B304" s="230" t="s">
        <v>171</v>
      </c>
      <c r="C304" s="177"/>
      <c r="D304" s="170"/>
      <c r="E304" s="170"/>
      <c r="F304" s="170">
        <v>4.3</v>
      </c>
      <c r="G304" s="182">
        <f t="shared" si="28"/>
        <v>4.3</v>
      </c>
      <c r="H304" s="185" t="e">
        <f t="shared" si="29"/>
        <v>#DIV/0!</v>
      </c>
    </row>
    <row r="305" spans="1:9" ht="24.75" customHeight="1">
      <c r="A305" s="226"/>
      <c r="B305" s="230" t="s">
        <v>218</v>
      </c>
      <c r="C305" s="177"/>
      <c r="D305" s="170"/>
      <c r="E305" s="170"/>
      <c r="F305" s="170">
        <v>4.8</v>
      </c>
      <c r="G305" s="182">
        <f t="shared" si="28"/>
        <v>4.8</v>
      </c>
      <c r="H305" s="185" t="e">
        <f t="shared" si="29"/>
        <v>#DIV/0!</v>
      </c>
    </row>
    <row r="306" spans="1:9" ht="24.75" customHeight="1">
      <c r="A306" s="226"/>
      <c r="B306" s="180" t="s">
        <v>262</v>
      </c>
      <c r="C306" s="177"/>
      <c r="D306" s="170">
        <v>0.7</v>
      </c>
      <c r="E306" s="170"/>
      <c r="F306" s="170"/>
      <c r="G306" s="182">
        <f t="shared" si="28"/>
        <v>0</v>
      </c>
      <c r="H306" s="185" t="e">
        <f t="shared" si="29"/>
        <v>#DIV/0!</v>
      </c>
    </row>
    <row r="307" spans="1:9" ht="24.75" customHeight="1">
      <c r="B307" s="230" t="s">
        <v>166</v>
      </c>
      <c r="D307" s="170"/>
      <c r="E307" s="170"/>
      <c r="F307" s="170">
        <v>1.6</v>
      </c>
      <c r="G307" s="182">
        <f t="shared" si="28"/>
        <v>1.6</v>
      </c>
      <c r="H307" s="185" t="e">
        <f t="shared" si="29"/>
        <v>#DIV/0!</v>
      </c>
    </row>
    <row r="308" spans="1:9" ht="28.5" customHeight="1">
      <c r="A308" s="171" t="s">
        <v>406</v>
      </c>
      <c r="B308" s="199" t="s">
        <v>91</v>
      </c>
      <c r="C308" s="173">
        <v>1020</v>
      </c>
      <c r="D308" s="174">
        <f>D309+D312</f>
        <v>33.5</v>
      </c>
      <c r="E308" s="174">
        <f>E309+E312</f>
        <v>0</v>
      </c>
      <c r="F308" s="174">
        <f>F309+F312</f>
        <v>135.4</v>
      </c>
      <c r="G308" s="196">
        <f t="shared" si="28"/>
        <v>135.4</v>
      </c>
      <c r="H308" s="200" t="e">
        <f t="shared" si="29"/>
        <v>#DIV/0!</v>
      </c>
      <c r="I308" s="254"/>
    </row>
    <row r="309" spans="1:9" ht="27" customHeight="1">
      <c r="A309" s="226" t="s">
        <v>407</v>
      </c>
      <c r="B309" s="202" t="s">
        <v>106</v>
      </c>
      <c r="C309" s="160">
        <v>1021</v>
      </c>
      <c r="D309" s="165">
        <f>D310+D311</f>
        <v>15.5</v>
      </c>
      <c r="E309" s="165">
        <f>E310+E311</f>
        <v>0</v>
      </c>
      <c r="F309" s="165">
        <f>F310+F311</f>
        <v>14.5</v>
      </c>
      <c r="G309" s="166">
        <f t="shared" si="28"/>
        <v>14.5</v>
      </c>
      <c r="H309" s="187" t="e">
        <f t="shared" si="29"/>
        <v>#DIV/0!</v>
      </c>
    </row>
    <row r="310" spans="1:9" ht="24.75" customHeight="1">
      <c r="A310" s="226"/>
      <c r="B310" s="230" t="s">
        <v>227</v>
      </c>
      <c r="C310" s="160"/>
      <c r="D310" s="170">
        <v>8.8000000000000007</v>
      </c>
      <c r="E310" s="170"/>
      <c r="F310" s="170">
        <v>14.1</v>
      </c>
      <c r="G310" s="182">
        <f t="shared" si="28"/>
        <v>14.1</v>
      </c>
      <c r="H310" s="185" t="e">
        <f t="shared" si="29"/>
        <v>#DIV/0!</v>
      </c>
    </row>
    <row r="311" spans="1:9" ht="36.75" customHeight="1">
      <c r="B311" s="230" t="s">
        <v>216</v>
      </c>
      <c r="D311" s="170">
        <v>6.7</v>
      </c>
      <c r="E311" s="170">
        <f>SUM(E312:E322)</f>
        <v>0</v>
      </c>
      <c r="F311" s="170">
        <v>0.4</v>
      </c>
      <c r="G311" s="182">
        <f t="shared" si="28"/>
        <v>0.4</v>
      </c>
      <c r="H311" s="185" t="e">
        <f t="shared" si="29"/>
        <v>#DIV/0!</v>
      </c>
    </row>
    <row r="312" spans="1:9" ht="24.75" customHeight="1">
      <c r="A312" s="226" t="s">
        <v>408</v>
      </c>
      <c r="B312" s="223" t="s">
        <v>547</v>
      </c>
      <c r="C312" s="177">
        <v>1025</v>
      </c>
      <c r="D312" s="165">
        <f>SUM(D313:D323)</f>
        <v>18</v>
      </c>
      <c r="E312" s="165">
        <f>SUM(E313:E323)</f>
        <v>0</v>
      </c>
      <c r="F312" s="165">
        <f>SUM(F313:F323)</f>
        <v>120.9</v>
      </c>
      <c r="G312" s="166">
        <f t="shared" si="28"/>
        <v>120.9</v>
      </c>
      <c r="H312" s="187" t="e">
        <f t="shared" si="29"/>
        <v>#DIV/0!</v>
      </c>
    </row>
    <row r="313" spans="1:9" ht="24.75" customHeight="1">
      <c r="A313" s="226"/>
      <c r="B313" s="212" t="s">
        <v>155</v>
      </c>
      <c r="C313" s="177"/>
      <c r="D313" s="170"/>
      <c r="E313" s="170"/>
      <c r="F313" s="170">
        <v>1.3</v>
      </c>
      <c r="G313" s="182">
        <f t="shared" si="28"/>
        <v>1.3</v>
      </c>
      <c r="H313" s="185" t="e">
        <f t="shared" si="29"/>
        <v>#DIV/0!</v>
      </c>
    </row>
    <row r="314" spans="1:9" ht="24.75" customHeight="1">
      <c r="A314" s="226"/>
      <c r="B314" s="180" t="s">
        <v>168</v>
      </c>
      <c r="C314" s="177"/>
      <c r="D314" s="170">
        <v>11.3</v>
      </c>
      <c r="E314" s="170"/>
      <c r="F314" s="170"/>
      <c r="G314" s="182">
        <f t="shared" si="28"/>
        <v>0</v>
      </c>
      <c r="H314" s="185" t="e">
        <f t="shared" si="29"/>
        <v>#DIV/0!</v>
      </c>
    </row>
    <row r="315" spans="1:9" ht="26.25" customHeight="1">
      <c r="A315" s="226"/>
      <c r="B315" s="180" t="s">
        <v>167</v>
      </c>
      <c r="C315" s="181"/>
      <c r="D315" s="170">
        <v>3.1</v>
      </c>
      <c r="E315" s="170"/>
      <c r="F315" s="170"/>
      <c r="G315" s="182">
        <f t="shared" si="28"/>
        <v>0</v>
      </c>
      <c r="H315" s="185" t="e">
        <f t="shared" si="29"/>
        <v>#DIV/0!</v>
      </c>
    </row>
    <row r="316" spans="1:9" ht="41.25" customHeight="1">
      <c r="A316" s="226"/>
      <c r="B316" s="180" t="s">
        <v>228</v>
      </c>
      <c r="C316" s="181"/>
      <c r="D316" s="170">
        <v>2.8</v>
      </c>
      <c r="E316" s="170"/>
      <c r="F316" s="170">
        <f>13.9+1.5</f>
        <v>15.4</v>
      </c>
      <c r="G316" s="182">
        <f t="shared" si="28"/>
        <v>15.4</v>
      </c>
      <c r="H316" s="185" t="e">
        <f t="shared" si="29"/>
        <v>#DIV/0!</v>
      </c>
    </row>
    <row r="317" spans="1:9" ht="24" customHeight="1">
      <c r="A317" s="226"/>
      <c r="B317" s="180" t="s">
        <v>173</v>
      </c>
      <c r="C317" s="181"/>
      <c r="D317" s="170"/>
      <c r="E317" s="170"/>
      <c r="F317" s="170">
        <v>3.6</v>
      </c>
      <c r="G317" s="182">
        <f t="shared" si="28"/>
        <v>3.6</v>
      </c>
      <c r="H317" s="185" t="e">
        <f t="shared" si="29"/>
        <v>#DIV/0!</v>
      </c>
    </row>
    <row r="318" spans="1:9" ht="28.5" customHeight="1">
      <c r="A318" s="226"/>
      <c r="B318" s="180" t="s">
        <v>203</v>
      </c>
      <c r="C318" s="181"/>
      <c r="D318" s="170">
        <v>0.6</v>
      </c>
      <c r="E318" s="170"/>
      <c r="F318" s="170">
        <v>0.8</v>
      </c>
      <c r="G318" s="182">
        <f t="shared" si="28"/>
        <v>0.8</v>
      </c>
      <c r="H318" s="185" t="e">
        <f t="shared" si="29"/>
        <v>#DIV/0!</v>
      </c>
    </row>
    <row r="319" spans="1:9" ht="28.5" customHeight="1">
      <c r="A319" s="226"/>
      <c r="B319" s="180" t="s">
        <v>236</v>
      </c>
      <c r="C319" s="181"/>
      <c r="D319" s="170"/>
      <c r="E319" s="170"/>
      <c r="F319" s="170">
        <v>5.0999999999999996</v>
      </c>
      <c r="G319" s="182">
        <f t="shared" si="28"/>
        <v>5.0999999999999996</v>
      </c>
      <c r="H319" s="185" t="e">
        <f t="shared" si="29"/>
        <v>#DIV/0!</v>
      </c>
    </row>
    <row r="320" spans="1:9" ht="28.5" customHeight="1">
      <c r="A320" s="226"/>
      <c r="B320" s="180" t="s">
        <v>530</v>
      </c>
      <c r="C320" s="181"/>
      <c r="D320" s="170"/>
      <c r="E320" s="170"/>
      <c r="F320" s="170">
        <v>1.5</v>
      </c>
      <c r="G320" s="182">
        <f t="shared" si="28"/>
        <v>1.5</v>
      </c>
      <c r="H320" s="185" t="e">
        <f t="shared" si="29"/>
        <v>#DIV/0!</v>
      </c>
    </row>
    <row r="321" spans="1:17" ht="28.5" customHeight="1">
      <c r="A321" s="226"/>
      <c r="B321" s="180" t="s">
        <v>254</v>
      </c>
      <c r="C321" s="181"/>
      <c r="D321" s="170"/>
      <c r="E321" s="170"/>
      <c r="F321" s="170">
        <v>13.7</v>
      </c>
      <c r="G321" s="182">
        <f t="shared" si="28"/>
        <v>13.7</v>
      </c>
      <c r="H321" s="185" t="e">
        <f t="shared" si="29"/>
        <v>#DIV/0!</v>
      </c>
    </row>
    <row r="322" spans="1:17" ht="22.5" customHeight="1">
      <c r="A322" s="226"/>
      <c r="B322" s="180" t="s">
        <v>262</v>
      </c>
      <c r="C322" s="181"/>
      <c r="D322" s="170">
        <v>0.2</v>
      </c>
      <c r="E322" s="170"/>
      <c r="F322" s="170"/>
      <c r="G322" s="182">
        <f t="shared" si="28"/>
        <v>0</v>
      </c>
      <c r="H322" s="185" t="e">
        <f t="shared" si="29"/>
        <v>#DIV/0!</v>
      </c>
    </row>
    <row r="323" spans="1:17" ht="22.5" customHeight="1">
      <c r="A323" s="226"/>
      <c r="B323" s="180" t="s">
        <v>235</v>
      </c>
      <c r="C323" s="181"/>
      <c r="D323" s="170"/>
      <c r="E323" s="170"/>
      <c r="F323" s="170">
        <v>79.5</v>
      </c>
      <c r="G323" s="182">
        <f t="shared" si="28"/>
        <v>79.5</v>
      </c>
      <c r="H323" s="185" t="e">
        <f t="shared" si="29"/>
        <v>#DIV/0!</v>
      </c>
    </row>
    <row r="324" spans="1:17" s="149" customFormat="1" ht="45.75" customHeight="1">
      <c r="A324" s="226" t="s">
        <v>263</v>
      </c>
      <c r="B324" s="176" t="s">
        <v>422</v>
      </c>
      <c r="C324" s="160"/>
      <c r="D324" s="165">
        <f>D326</f>
        <v>5</v>
      </c>
      <c r="E324" s="165"/>
      <c r="F324" s="165"/>
      <c r="G324" s="166">
        <f t="shared" si="28"/>
        <v>0</v>
      </c>
      <c r="H324" s="187" t="e">
        <f t="shared" si="29"/>
        <v>#DIV/0!</v>
      </c>
      <c r="O324" s="245"/>
      <c r="P324" s="245"/>
      <c r="Q324" s="245"/>
    </row>
    <row r="325" spans="1:17" ht="22.5" customHeight="1">
      <c r="B325" s="169" t="s">
        <v>85</v>
      </c>
      <c r="D325" s="170"/>
      <c r="E325" s="170"/>
      <c r="F325" s="170"/>
      <c r="G325" s="182">
        <f t="shared" si="28"/>
        <v>0</v>
      </c>
      <c r="H325" s="185" t="e">
        <f t="shared" si="29"/>
        <v>#DIV/0!</v>
      </c>
    </row>
    <row r="326" spans="1:17" ht="22.5" customHeight="1">
      <c r="A326" s="171" t="s">
        <v>549</v>
      </c>
      <c r="B326" s="172" t="s">
        <v>89</v>
      </c>
      <c r="C326" s="173">
        <v>1030</v>
      </c>
      <c r="D326" s="174">
        <f>D327</f>
        <v>5</v>
      </c>
      <c r="E326" s="174"/>
      <c r="F326" s="174"/>
      <c r="G326" s="196">
        <f t="shared" si="28"/>
        <v>0</v>
      </c>
      <c r="H326" s="200" t="e">
        <f t="shared" si="29"/>
        <v>#DIV/0!</v>
      </c>
    </row>
    <row r="327" spans="1:17" ht="27.75" customHeight="1">
      <c r="A327" s="175" t="s">
        <v>265</v>
      </c>
      <c r="B327" s="211" t="s">
        <v>106</v>
      </c>
      <c r="C327" s="177">
        <v>1035</v>
      </c>
      <c r="D327" s="165">
        <f>D328</f>
        <v>5</v>
      </c>
      <c r="E327" s="165"/>
      <c r="F327" s="165"/>
      <c r="G327" s="166">
        <f t="shared" si="28"/>
        <v>0</v>
      </c>
      <c r="H327" s="187" t="e">
        <f t="shared" si="29"/>
        <v>#DIV/0!</v>
      </c>
    </row>
    <row r="328" spans="1:17" ht="27.75" customHeight="1">
      <c r="B328" s="184" t="s">
        <v>247</v>
      </c>
      <c r="C328" s="160"/>
      <c r="D328" s="165">
        <v>5</v>
      </c>
      <c r="E328" s="170"/>
      <c r="F328" s="170"/>
      <c r="G328" s="182">
        <f t="shared" si="28"/>
        <v>0</v>
      </c>
      <c r="H328" s="185" t="e">
        <f t="shared" si="29"/>
        <v>#DIV/0!</v>
      </c>
    </row>
    <row r="329" spans="1:17" ht="22.5" customHeight="1">
      <c r="A329" s="226" t="s">
        <v>370</v>
      </c>
      <c r="B329" s="228" t="s">
        <v>264</v>
      </c>
      <c r="C329" s="158"/>
      <c r="D329" s="165">
        <f>D331</f>
        <v>8.1999999999999993</v>
      </c>
      <c r="E329" s="170"/>
      <c r="F329" s="170"/>
      <c r="G329" s="182">
        <f t="shared" si="28"/>
        <v>0</v>
      </c>
      <c r="H329" s="185" t="e">
        <f t="shared" si="29"/>
        <v>#DIV/0!</v>
      </c>
    </row>
    <row r="330" spans="1:17" ht="22.5" customHeight="1">
      <c r="A330" s="226"/>
      <c r="B330" s="255" t="s">
        <v>85</v>
      </c>
      <c r="C330" s="158"/>
      <c r="D330" s="170"/>
      <c r="E330" s="170"/>
      <c r="F330" s="170"/>
      <c r="G330" s="182">
        <f t="shared" si="28"/>
        <v>0</v>
      </c>
      <c r="H330" s="185" t="e">
        <f t="shared" si="29"/>
        <v>#DIV/0!</v>
      </c>
    </row>
    <row r="331" spans="1:17" ht="27.75" customHeight="1">
      <c r="A331" s="171" t="s">
        <v>550</v>
      </c>
      <c r="B331" s="199" t="s">
        <v>92</v>
      </c>
      <c r="C331" s="173">
        <v>1030</v>
      </c>
      <c r="D331" s="174">
        <f>D332</f>
        <v>8.1999999999999993</v>
      </c>
      <c r="E331" s="174"/>
      <c r="F331" s="174"/>
      <c r="G331" s="196">
        <f t="shared" si="28"/>
        <v>0</v>
      </c>
      <c r="H331" s="200" t="e">
        <f t="shared" si="29"/>
        <v>#DIV/0!</v>
      </c>
    </row>
    <row r="332" spans="1:17" ht="27.75" customHeight="1">
      <c r="A332" s="226" t="s">
        <v>551</v>
      </c>
      <c r="B332" s="202" t="s">
        <v>92</v>
      </c>
      <c r="C332" s="177">
        <v>1035</v>
      </c>
      <c r="D332" s="165">
        <f>D333</f>
        <v>8.1999999999999993</v>
      </c>
      <c r="E332" s="165"/>
      <c r="F332" s="165"/>
      <c r="G332" s="166">
        <f t="shared" si="28"/>
        <v>0</v>
      </c>
      <c r="H332" s="187" t="e">
        <f t="shared" si="29"/>
        <v>#DIV/0!</v>
      </c>
    </row>
    <row r="333" spans="1:17" ht="27" customHeight="1">
      <c r="B333" s="230" t="s">
        <v>266</v>
      </c>
      <c r="C333" s="177"/>
      <c r="D333" s="170">
        <v>8.1999999999999993</v>
      </c>
      <c r="E333" s="165">
        <f>E335+E338</f>
        <v>0</v>
      </c>
      <c r="G333" s="182">
        <f t="shared" si="28"/>
        <v>0</v>
      </c>
      <c r="H333" s="185" t="e">
        <f t="shared" si="29"/>
        <v>#DIV/0!</v>
      </c>
    </row>
    <row r="334" spans="1:17" s="149" customFormat="1" ht="24.75" customHeight="1">
      <c r="A334" s="226" t="s">
        <v>409</v>
      </c>
      <c r="B334" s="228" t="s">
        <v>238</v>
      </c>
      <c r="C334" s="177"/>
      <c r="D334" s="165">
        <f>D336+D339</f>
        <v>1526</v>
      </c>
      <c r="E334" s="165"/>
      <c r="F334" s="165">
        <f>F336+F339</f>
        <v>2402</v>
      </c>
      <c r="G334" s="166">
        <f t="shared" si="28"/>
        <v>2402</v>
      </c>
      <c r="H334" s="187" t="e">
        <f t="shared" si="29"/>
        <v>#DIV/0!</v>
      </c>
      <c r="O334" s="245"/>
      <c r="P334" s="245"/>
      <c r="Q334" s="245"/>
    </row>
    <row r="335" spans="1:17" ht="24.75" customHeight="1">
      <c r="B335" s="169" t="s">
        <v>85</v>
      </c>
      <c r="D335" s="170"/>
      <c r="E335" s="170">
        <f>E336</f>
        <v>0</v>
      </c>
      <c r="F335" s="165"/>
      <c r="G335" s="182">
        <f t="shared" si="28"/>
        <v>0</v>
      </c>
      <c r="H335" s="185" t="e">
        <f t="shared" si="29"/>
        <v>#DIV/0!</v>
      </c>
      <c r="I335" s="188"/>
    </row>
    <row r="336" spans="1:17" ht="24.75" customHeight="1">
      <c r="A336" s="256" t="s">
        <v>552</v>
      </c>
      <c r="B336" s="257" t="s">
        <v>89</v>
      </c>
      <c r="C336" s="222">
        <v>1010</v>
      </c>
      <c r="D336" s="174">
        <f>D337</f>
        <v>1119.5999999999999</v>
      </c>
      <c r="E336" s="174">
        <f>E337</f>
        <v>0</v>
      </c>
      <c r="F336" s="174">
        <f>F337</f>
        <v>1480.4</v>
      </c>
      <c r="G336" s="196">
        <f t="shared" si="28"/>
        <v>1480.4</v>
      </c>
      <c r="H336" s="200" t="e">
        <f t="shared" si="29"/>
        <v>#DIV/0!</v>
      </c>
    </row>
    <row r="337" spans="1:17" ht="24.75" customHeight="1">
      <c r="A337" s="258" t="s">
        <v>553</v>
      </c>
      <c r="B337" s="259" t="s">
        <v>4</v>
      </c>
      <c r="C337" s="177">
        <v>1014</v>
      </c>
      <c r="D337" s="165">
        <f>D338</f>
        <v>1119.5999999999999</v>
      </c>
      <c r="E337" s="165"/>
      <c r="F337" s="165">
        <f>F338</f>
        <v>1480.4</v>
      </c>
      <c r="G337" s="166">
        <f t="shared" si="28"/>
        <v>1480.4</v>
      </c>
      <c r="H337" s="187" t="e">
        <f t="shared" si="29"/>
        <v>#DIV/0!</v>
      </c>
    </row>
    <row r="338" spans="1:17" ht="24.75" customHeight="1">
      <c r="B338" s="260" t="s">
        <v>241</v>
      </c>
      <c r="D338" s="261">
        <v>1119.5999999999999</v>
      </c>
      <c r="E338" s="170"/>
      <c r="F338" s="170">
        <v>1480.4</v>
      </c>
      <c r="G338" s="182">
        <f t="shared" si="28"/>
        <v>1480.4</v>
      </c>
      <c r="H338" s="185" t="e">
        <f t="shared" si="29"/>
        <v>#DIV/0!</v>
      </c>
    </row>
    <row r="339" spans="1:17" ht="24.75" customHeight="1">
      <c r="A339" s="256" t="s">
        <v>554</v>
      </c>
      <c r="B339" s="172" t="s">
        <v>91</v>
      </c>
      <c r="C339" s="222">
        <v>1020</v>
      </c>
      <c r="D339" s="262">
        <f>D340</f>
        <v>406.4</v>
      </c>
      <c r="E339" s="174"/>
      <c r="F339" s="174">
        <f>F340</f>
        <v>921.6</v>
      </c>
      <c r="G339" s="196">
        <f t="shared" si="28"/>
        <v>921.6</v>
      </c>
      <c r="H339" s="200" t="e">
        <f t="shared" si="29"/>
        <v>#DIV/0!</v>
      </c>
    </row>
    <row r="340" spans="1:17" ht="27.75" customHeight="1">
      <c r="A340" s="226" t="s">
        <v>555</v>
      </c>
      <c r="B340" s="228" t="s">
        <v>4</v>
      </c>
      <c r="C340" s="177">
        <v>1024</v>
      </c>
      <c r="D340" s="263">
        <f>D341</f>
        <v>406.4</v>
      </c>
      <c r="E340" s="263"/>
      <c r="F340" s="263">
        <f>F341</f>
        <v>921.6</v>
      </c>
      <c r="G340" s="264">
        <f t="shared" si="28"/>
        <v>921.6</v>
      </c>
      <c r="H340" s="265" t="e">
        <f t="shared" si="29"/>
        <v>#DIV/0!</v>
      </c>
    </row>
    <row r="341" spans="1:17" ht="27.75" customHeight="1">
      <c r="A341" s="226"/>
      <c r="B341" s="230" t="s">
        <v>241</v>
      </c>
      <c r="C341" s="177"/>
      <c r="D341" s="266">
        <v>406.4</v>
      </c>
      <c r="E341" s="267"/>
      <c r="F341" s="267">
        <v>921.6</v>
      </c>
      <c r="G341" s="157">
        <f t="shared" si="28"/>
        <v>921.6</v>
      </c>
      <c r="H341" s="268" t="e">
        <f t="shared" si="29"/>
        <v>#DIV/0!</v>
      </c>
    </row>
    <row r="342" spans="1:17" ht="34.5" customHeight="1">
      <c r="B342" s="269"/>
      <c r="C342" s="270"/>
      <c r="D342" s="148"/>
      <c r="E342" s="148"/>
      <c r="F342" s="148"/>
    </row>
    <row r="343" spans="1:17" ht="34.5" customHeight="1">
      <c r="B343" s="271" t="s">
        <v>542</v>
      </c>
      <c r="C343" s="310"/>
      <c r="D343" s="310"/>
      <c r="E343" s="310"/>
      <c r="F343" s="316" t="s">
        <v>204</v>
      </c>
      <c r="G343" s="316"/>
      <c r="H343" s="316"/>
    </row>
    <row r="344" spans="1:17" ht="29.25" customHeight="1">
      <c r="B344" s="272" t="s">
        <v>59</v>
      </c>
      <c r="C344" s="318" t="s">
        <v>11</v>
      </c>
      <c r="D344" s="318"/>
      <c r="E344" s="318"/>
      <c r="F344" s="317" t="s">
        <v>17</v>
      </c>
      <c r="G344" s="317"/>
      <c r="H344" s="317"/>
    </row>
    <row r="345" spans="1:17" ht="35.25" customHeight="1">
      <c r="B345" s="269"/>
      <c r="D345" s="273"/>
      <c r="E345" s="274"/>
      <c r="F345" s="274"/>
    </row>
    <row r="346" spans="1:17" ht="35.25" customHeight="1">
      <c r="B346" s="269"/>
      <c r="D346" s="273"/>
      <c r="E346" s="274"/>
      <c r="F346" s="274"/>
    </row>
    <row r="347" spans="1:17" s="149" customFormat="1" ht="39" customHeight="1">
      <c r="A347" s="148"/>
      <c r="B347" s="269"/>
      <c r="C347" s="150"/>
      <c r="D347" s="273"/>
      <c r="E347" s="274"/>
      <c r="F347" s="274"/>
      <c r="G347" s="148"/>
      <c r="H347" s="148"/>
      <c r="O347" s="245"/>
      <c r="P347" s="245"/>
      <c r="Q347" s="245"/>
    </row>
    <row r="348" spans="1:17" s="149" customFormat="1" ht="32.25" customHeight="1">
      <c r="A348" s="148"/>
      <c r="B348" s="269"/>
      <c r="C348" s="150"/>
      <c r="D348" s="273"/>
      <c r="E348" s="274"/>
      <c r="F348" s="274"/>
      <c r="G348" s="148"/>
      <c r="H348" s="148"/>
      <c r="O348" s="245"/>
      <c r="P348" s="245"/>
      <c r="Q348" s="245"/>
    </row>
    <row r="349" spans="1:17" s="149" customFormat="1" ht="31.5" customHeight="1">
      <c r="A349" s="148"/>
      <c r="B349" s="269"/>
      <c r="C349" s="150"/>
      <c r="D349" s="273"/>
      <c r="E349" s="274"/>
      <c r="F349" s="274"/>
      <c r="G349" s="148"/>
      <c r="H349" s="148"/>
      <c r="O349" s="245"/>
      <c r="P349" s="245"/>
      <c r="Q349" s="245"/>
    </row>
    <row r="350" spans="1:17" s="149" customFormat="1" ht="31.5" customHeight="1">
      <c r="A350" s="148"/>
      <c r="B350" s="269"/>
      <c r="C350" s="150"/>
      <c r="D350" s="273"/>
      <c r="E350" s="274"/>
      <c r="F350" s="274"/>
      <c r="G350" s="148"/>
      <c r="H350" s="148"/>
      <c r="O350" s="245"/>
      <c r="P350" s="245"/>
      <c r="Q350" s="245"/>
    </row>
    <row r="351" spans="1:17" s="149" customFormat="1" ht="29.25" customHeight="1">
      <c r="A351" s="148"/>
      <c r="B351" s="269"/>
      <c r="C351" s="150"/>
      <c r="D351" s="273"/>
      <c r="E351" s="274"/>
      <c r="F351" s="274"/>
      <c r="G351" s="148"/>
      <c r="H351" s="148"/>
      <c r="O351" s="245"/>
      <c r="P351" s="245"/>
      <c r="Q351" s="245"/>
    </row>
    <row r="352" spans="1:17" s="149" customFormat="1" ht="35.25" customHeight="1">
      <c r="A352" s="148"/>
      <c r="B352" s="269"/>
      <c r="C352" s="150"/>
      <c r="D352" s="273"/>
      <c r="E352" s="274"/>
      <c r="F352" s="274"/>
      <c r="G352" s="148"/>
      <c r="H352" s="148"/>
      <c r="O352" s="245"/>
      <c r="P352" s="245"/>
      <c r="Q352" s="245"/>
    </row>
    <row r="353" spans="1:17" s="149" customFormat="1" ht="41.25" customHeight="1">
      <c r="A353" s="148"/>
      <c r="B353" s="269"/>
      <c r="C353" s="150"/>
      <c r="D353" s="273"/>
      <c r="E353" s="274"/>
      <c r="F353" s="274"/>
      <c r="G353" s="148"/>
      <c r="H353" s="148"/>
      <c r="O353" s="245"/>
      <c r="P353" s="245"/>
      <c r="Q353" s="245"/>
    </row>
    <row r="354" spans="1:17" s="149" customFormat="1" ht="35.25" customHeight="1">
      <c r="A354" s="148"/>
      <c r="B354" s="269"/>
      <c r="C354" s="150"/>
      <c r="D354" s="273"/>
      <c r="E354" s="274"/>
      <c r="F354" s="274"/>
      <c r="G354" s="148"/>
      <c r="H354" s="148"/>
      <c r="O354" s="245"/>
      <c r="P354" s="245"/>
      <c r="Q354" s="245"/>
    </row>
    <row r="355" spans="1:17" s="149" customFormat="1" ht="41.25" customHeight="1">
      <c r="A355" s="148"/>
      <c r="B355" s="269"/>
      <c r="C355" s="150"/>
      <c r="D355" s="273"/>
      <c r="E355" s="274"/>
      <c r="F355" s="274"/>
      <c r="G355" s="148"/>
      <c r="H355" s="148"/>
      <c r="O355" s="245"/>
      <c r="P355" s="245"/>
      <c r="Q355" s="245"/>
    </row>
    <row r="356" spans="1:17" s="149" customFormat="1" ht="37.5" customHeight="1">
      <c r="A356" s="148"/>
      <c r="B356" s="269"/>
      <c r="C356" s="150"/>
      <c r="D356" s="273"/>
      <c r="E356" s="274"/>
      <c r="F356" s="274"/>
      <c r="G356" s="148"/>
      <c r="H356" s="148"/>
      <c r="O356" s="245"/>
      <c r="P356" s="245"/>
      <c r="Q356" s="245"/>
    </row>
    <row r="357" spans="1:17" s="149" customFormat="1" ht="37.5" customHeight="1">
      <c r="A357" s="148"/>
      <c r="B357" s="269"/>
      <c r="C357" s="150"/>
      <c r="D357" s="273"/>
      <c r="E357" s="274"/>
      <c r="F357" s="274"/>
      <c r="G357" s="148"/>
      <c r="H357" s="148"/>
      <c r="O357" s="245"/>
      <c r="P357" s="245"/>
      <c r="Q357" s="245"/>
    </row>
    <row r="358" spans="1:17" s="149" customFormat="1" ht="39" customHeight="1">
      <c r="A358" s="148"/>
      <c r="B358" s="269"/>
      <c r="C358" s="150"/>
      <c r="D358" s="273"/>
      <c r="E358" s="274"/>
      <c r="F358" s="274"/>
      <c r="G358" s="148"/>
      <c r="H358" s="148"/>
      <c r="O358" s="245"/>
      <c r="P358" s="245"/>
      <c r="Q358" s="245"/>
    </row>
    <row r="359" spans="1:17" s="149" customFormat="1" ht="35.25" customHeight="1">
      <c r="A359" s="148"/>
      <c r="B359" s="269"/>
      <c r="C359" s="150"/>
      <c r="D359" s="273"/>
      <c r="E359" s="274"/>
      <c r="F359" s="274"/>
      <c r="G359" s="148"/>
      <c r="H359" s="148"/>
      <c r="O359" s="245"/>
      <c r="P359" s="245"/>
      <c r="Q359" s="245"/>
    </row>
    <row r="360" spans="1:17" s="149" customFormat="1" ht="37.5" customHeight="1">
      <c r="A360" s="148"/>
      <c r="B360" s="269"/>
      <c r="C360" s="150"/>
      <c r="D360" s="273"/>
      <c r="E360" s="274"/>
      <c r="F360" s="274"/>
      <c r="G360" s="148"/>
      <c r="H360" s="148"/>
      <c r="O360" s="245"/>
      <c r="P360" s="245"/>
      <c r="Q360" s="245"/>
    </row>
    <row r="361" spans="1:17" s="149" customFormat="1" ht="31.5" customHeight="1">
      <c r="A361" s="148"/>
      <c r="B361" s="269"/>
      <c r="C361" s="150"/>
      <c r="D361" s="273"/>
      <c r="E361" s="274"/>
      <c r="F361" s="274"/>
      <c r="G361" s="148"/>
      <c r="H361" s="148"/>
      <c r="O361" s="245"/>
      <c r="P361" s="245"/>
      <c r="Q361" s="245"/>
    </row>
    <row r="362" spans="1:17" s="149" customFormat="1" ht="31.5" customHeight="1">
      <c r="A362" s="148"/>
      <c r="B362" s="269"/>
      <c r="C362" s="150"/>
      <c r="D362" s="273"/>
      <c r="E362" s="274"/>
      <c r="F362" s="274"/>
      <c r="G362" s="148"/>
      <c r="H362" s="148"/>
      <c r="O362" s="245"/>
      <c r="P362" s="245"/>
      <c r="Q362" s="245"/>
    </row>
    <row r="363" spans="1:17">
      <c r="B363" s="269"/>
      <c r="D363" s="273"/>
      <c r="E363" s="274"/>
      <c r="F363" s="274"/>
    </row>
    <row r="364" spans="1:17" ht="24.75" customHeight="1">
      <c r="B364" s="269"/>
      <c r="D364" s="273"/>
      <c r="E364" s="274"/>
      <c r="F364" s="274"/>
    </row>
    <row r="365" spans="1:17">
      <c r="B365" s="269"/>
      <c r="D365" s="273"/>
      <c r="E365" s="274"/>
      <c r="F365" s="274"/>
    </row>
    <row r="366" spans="1:17">
      <c r="B366" s="269"/>
      <c r="D366" s="273"/>
      <c r="E366" s="274"/>
      <c r="F366" s="274"/>
    </row>
    <row r="367" spans="1:17">
      <c r="B367" s="269"/>
      <c r="D367" s="273"/>
      <c r="E367" s="274"/>
      <c r="F367" s="274"/>
    </row>
    <row r="368" spans="1:17">
      <c r="B368" s="269"/>
      <c r="D368" s="273"/>
      <c r="E368" s="274"/>
      <c r="F368" s="274"/>
    </row>
    <row r="369" spans="2:6">
      <c r="B369" s="269"/>
      <c r="D369" s="273"/>
      <c r="E369" s="274"/>
      <c r="F369" s="274"/>
    </row>
    <row r="370" spans="2:6">
      <c r="B370" s="269"/>
      <c r="D370" s="273"/>
      <c r="E370" s="274"/>
      <c r="F370" s="274"/>
    </row>
    <row r="371" spans="2:6">
      <c r="B371" s="269"/>
      <c r="D371" s="273"/>
      <c r="E371" s="274"/>
      <c r="F371" s="274"/>
    </row>
    <row r="372" spans="2:6">
      <c r="B372" s="269"/>
      <c r="D372" s="273"/>
      <c r="E372" s="274"/>
      <c r="F372" s="274"/>
    </row>
    <row r="373" spans="2:6">
      <c r="B373" s="269"/>
      <c r="D373" s="273"/>
      <c r="E373" s="274"/>
      <c r="F373" s="274"/>
    </row>
    <row r="374" spans="2:6">
      <c r="B374" s="269"/>
      <c r="D374" s="273"/>
      <c r="E374" s="274"/>
      <c r="F374" s="274"/>
    </row>
    <row r="375" spans="2:6">
      <c r="B375" s="269"/>
      <c r="D375" s="273"/>
      <c r="E375" s="274"/>
      <c r="F375" s="274"/>
    </row>
    <row r="376" spans="2:6">
      <c r="B376" s="269"/>
      <c r="D376" s="273"/>
      <c r="E376" s="274"/>
      <c r="F376" s="274"/>
    </row>
    <row r="377" spans="2:6">
      <c r="B377" s="269"/>
      <c r="D377" s="273"/>
      <c r="E377" s="274"/>
      <c r="F377" s="274"/>
    </row>
    <row r="378" spans="2:6">
      <c r="B378" s="269"/>
      <c r="D378" s="273"/>
      <c r="E378" s="274"/>
      <c r="F378" s="274"/>
    </row>
    <row r="379" spans="2:6">
      <c r="B379" s="269"/>
      <c r="D379" s="273"/>
      <c r="E379" s="274"/>
      <c r="F379" s="274"/>
    </row>
    <row r="380" spans="2:6">
      <c r="B380" s="269"/>
      <c r="D380" s="273"/>
      <c r="E380" s="274"/>
      <c r="F380" s="274"/>
    </row>
    <row r="381" spans="2:6">
      <c r="B381" s="269"/>
      <c r="D381" s="273"/>
      <c r="E381" s="274"/>
      <c r="F381" s="274"/>
    </row>
    <row r="382" spans="2:6">
      <c r="B382" s="269"/>
      <c r="D382" s="273"/>
      <c r="E382" s="274"/>
      <c r="F382" s="274"/>
    </row>
    <row r="383" spans="2:6">
      <c r="B383" s="269"/>
      <c r="D383" s="273"/>
      <c r="E383" s="274"/>
      <c r="F383" s="274"/>
    </row>
    <row r="384" spans="2:6">
      <c r="B384" s="269"/>
      <c r="D384" s="273"/>
      <c r="E384" s="274"/>
      <c r="F384" s="274"/>
    </row>
    <row r="385" spans="2:6">
      <c r="B385" s="269"/>
      <c r="D385" s="273"/>
      <c r="E385" s="274"/>
      <c r="F385" s="274"/>
    </row>
    <row r="386" spans="2:6">
      <c r="B386" s="269"/>
      <c r="D386" s="273"/>
      <c r="E386" s="274"/>
      <c r="F386" s="274"/>
    </row>
    <row r="387" spans="2:6">
      <c r="B387" s="269"/>
      <c r="D387" s="273"/>
      <c r="E387" s="274"/>
      <c r="F387" s="274"/>
    </row>
    <row r="388" spans="2:6">
      <c r="B388" s="269"/>
      <c r="D388" s="273"/>
      <c r="E388" s="274"/>
      <c r="F388" s="274"/>
    </row>
    <row r="389" spans="2:6">
      <c r="B389" s="269"/>
      <c r="D389" s="273"/>
      <c r="E389" s="274"/>
      <c r="F389" s="274"/>
    </row>
    <row r="390" spans="2:6">
      <c r="B390" s="269"/>
      <c r="D390" s="273"/>
      <c r="E390" s="274"/>
      <c r="F390" s="274"/>
    </row>
    <row r="391" spans="2:6">
      <c r="B391" s="269"/>
      <c r="D391" s="273"/>
      <c r="E391" s="274"/>
      <c r="F391" s="274"/>
    </row>
    <row r="392" spans="2:6">
      <c r="B392" s="269"/>
      <c r="D392" s="273"/>
      <c r="E392" s="274"/>
      <c r="F392" s="274"/>
    </row>
    <row r="393" spans="2:6">
      <c r="B393" s="269"/>
      <c r="D393" s="273"/>
      <c r="E393" s="274"/>
      <c r="F393" s="274"/>
    </row>
    <row r="394" spans="2:6">
      <c r="B394" s="269"/>
      <c r="D394" s="273"/>
      <c r="E394" s="274"/>
      <c r="F394" s="274"/>
    </row>
    <row r="395" spans="2:6">
      <c r="B395" s="269"/>
      <c r="D395" s="273"/>
      <c r="E395" s="274"/>
      <c r="F395" s="274"/>
    </row>
    <row r="396" spans="2:6">
      <c r="B396" s="269"/>
      <c r="D396" s="273"/>
      <c r="E396" s="274"/>
      <c r="F396" s="274"/>
    </row>
    <row r="397" spans="2:6">
      <c r="B397" s="269"/>
      <c r="D397" s="273"/>
      <c r="E397" s="274"/>
      <c r="F397" s="274"/>
    </row>
    <row r="398" spans="2:6">
      <c r="B398" s="269"/>
    </row>
    <row r="399" spans="2:6">
      <c r="B399" s="269"/>
    </row>
    <row r="400" spans="2:6">
      <c r="B400" s="275"/>
    </row>
    <row r="401" spans="2:2">
      <c r="B401" s="275"/>
    </row>
    <row r="402" spans="2:2">
      <c r="B402" s="275"/>
    </row>
    <row r="403" spans="2:2">
      <c r="B403" s="275"/>
    </row>
    <row r="404" spans="2:2">
      <c r="B404" s="275"/>
    </row>
    <row r="405" spans="2:2">
      <c r="B405" s="275"/>
    </row>
    <row r="406" spans="2:2">
      <c r="B406" s="275"/>
    </row>
    <row r="407" spans="2:2">
      <c r="B407" s="275"/>
    </row>
    <row r="408" spans="2:2">
      <c r="B408" s="275"/>
    </row>
    <row r="409" spans="2:2">
      <c r="B409" s="275"/>
    </row>
    <row r="410" spans="2:2">
      <c r="B410" s="275"/>
    </row>
    <row r="411" spans="2:2">
      <c r="B411" s="275"/>
    </row>
    <row r="412" spans="2:2">
      <c r="B412" s="275"/>
    </row>
    <row r="413" spans="2:2">
      <c r="B413" s="275"/>
    </row>
    <row r="414" spans="2:2">
      <c r="B414" s="275"/>
    </row>
    <row r="415" spans="2:2">
      <c r="B415" s="275"/>
    </row>
    <row r="416" spans="2:2">
      <c r="B416" s="275"/>
    </row>
    <row r="417" spans="2:2">
      <c r="B417" s="275"/>
    </row>
    <row r="418" spans="2:2">
      <c r="B418" s="275"/>
    </row>
    <row r="419" spans="2:2">
      <c r="B419" s="275"/>
    </row>
    <row r="420" spans="2:2">
      <c r="B420" s="275"/>
    </row>
    <row r="421" spans="2:2">
      <c r="B421" s="275"/>
    </row>
    <row r="422" spans="2:2">
      <c r="B422" s="275"/>
    </row>
    <row r="423" spans="2:2">
      <c r="B423" s="275"/>
    </row>
    <row r="424" spans="2:2">
      <c r="B424" s="275"/>
    </row>
    <row r="425" spans="2:2">
      <c r="B425" s="275"/>
    </row>
    <row r="426" spans="2:2">
      <c r="B426" s="275"/>
    </row>
    <row r="427" spans="2:2">
      <c r="B427" s="275"/>
    </row>
    <row r="428" spans="2:2">
      <c r="B428" s="275"/>
    </row>
    <row r="429" spans="2:2">
      <c r="B429" s="275"/>
    </row>
    <row r="430" spans="2:2">
      <c r="B430" s="275"/>
    </row>
    <row r="431" spans="2:2">
      <c r="B431" s="275"/>
    </row>
    <row r="432" spans="2:2">
      <c r="B432" s="275"/>
    </row>
    <row r="433" spans="2:2">
      <c r="B433" s="275"/>
    </row>
    <row r="434" spans="2:2">
      <c r="B434" s="275"/>
    </row>
    <row r="435" spans="2:2">
      <c r="B435" s="275"/>
    </row>
    <row r="436" spans="2:2">
      <c r="B436" s="275"/>
    </row>
    <row r="437" spans="2:2">
      <c r="B437" s="275"/>
    </row>
    <row r="438" spans="2:2">
      <c r="B438" s="275"/>
    </row>
    <row r="439" spans="2:2">
      <c r="B439" s="275"/>
    </row>
    <row r="440" spans="2:2">
      <c r="B440" s="275"/>
    </row>
    <row r="441" spans="2:2">
      <c r="B441" s="275"/>
    </row>
    <row r="442" spans="2:2">
      <c r="B442" s="275"/>
    </row>
    <row r="443" spans="2:2">
      <c r="B443" s="275"/>
    </row>
    <row r="444" spans="2:2">
      <c r="B444" s="275"/>
    </row>
    <row r="445" spans="2:2">
      <c r="B445" s="275"/>
    </row>
    <row r="446" spans="2:2">
      <c r="B446" s="275"/>
    </row>
    <row r="447" spans="2:2">
      <c r="B447" s="275"/>
    </row>
    <row r="448" spans="2:2">
      <c r="B448" s="275"/>
    </row>
    <row r="449" spans="2:2">
      <c r="B449" s="275"/>
    </row>
    <row r="450" spans="2:2">
      <c r="B450" s="275"/>
    </row>
    <row r="451" spans="2:2">
      <c r="B451" s="275"/>
    </row>
    <row r="452" spans="2:2">
      <c r="B452" s="275"/>
    </row>
    <row r="453" spans="2:2">
      <c r="B453" s="275"/>
    </row>
    <row r="454" spans="2:2">
      <c r="B454" s="275"/>
    </row>
    <row r="455" spans="2:2">
      <c r="B455" s="275"/>
    </row>
    <row r="456" spans="2:2">
      <c r="B456" s="275"/>
    </row>
    <row r="457" spans="2:2">
      <c r="B457" s="275"/>
    </row>
    <row r="458" spans="2:2">
      <c r="B458" s="275"/>
    </row>
    <row r="459" spans="2:2">
      <c r="B459" s="275"/>
    </row>
    <row r="460" spans="2:2">
      <c r="B460" s="275"/>
    </row>
    <row r="461" spans="2:2">
      <c r="B461" s="275"/>
    </row>
    <row r="462" spans="2:2">
      <c r="B462" s="275"/>
    </row>
    <row r="463" spans="2:2">
      <c r="B463" s="275"/>
    </row>
    <row r="464" spans="2:2">
      <c r="B464" s="275"/>
    </row>
    <row r="465" spans="2:2">
      <c r="B465" s="275"/>
    </row>
    <row r="466" spans="2:2">
      <c r="B466" s="275"/>
    </row>
    <row r="467" spans="2:2">
      <c r="B467" s="275"/>
    </row>
    <row r="468" spans="2:2">
      <c r="B468" s="275"/>
    </row>
    <row r="469" spans="2:2">
      <c r="B469" s="275"/>
    </row>
    <row r="470" spans="2:2">
      <c r="B470" s="275"/>
    </row>
    <row r="471" spans="2:2">
      <c r="B471" s="275"/>
    </row>
    <row r="472" spans="2:2">
      <c r="B472" s="275"/>
    </row>
    <row r="473" spans="2:2">
      <c r="B473" s="275"/>
    </row>
    <row r="474" spans="2:2">
      <c r="B474" s="275"/>
    </row>
    <row r="475" spans="2:2">
      <c r="B475" s="275"/>
    </row>
    <row r="476" spans="2:2">
      <c r="B476" s="275"/>
    </row>
    <row r="477" spans="2:2">
      <c r="B477" s="275"/>
    </row>
    <row r="478" spans="2:2">
      <c r="B478" s="275"/>
    </row>
    <row r="479" spans="2:2">
      <c r="B479" s="275"/>
    </row>
    <row r="480" spans="2:2">
      <c r="B480" s="275"/>
    </row>
    <row r="481" spans="2:2">
      <c r="B481" s="275"/>
    </row>
    <row r="482" spans="2:2">
      <c r="B482" s="275"/>
    </row>
    <row r="483" spans="2:2">
      <c r="B483" s="275"/>
    </row>
    <row r="484" spans="2:2">
      <c r="B484" s="275"/>
    </row>
    <row r="485" spans="2:2">
      <c r="B485" s="275"/>
    </row>
    <row r="486" spans="2:2">
      <c r="B486" s="275"/>
    </row>
    <row r="487" spans="2:2">
      <c r="B487" s="275"/>
    </row>
    <row r="488" spans="2:2">
      <c r="B488" s="275"/>
    </row>
    <row r="489" spans="2:2">
      <c r="B489" s="275"/>
    </row>
    <row r="490" spans="2:2">
      <c r="B490" s="275"/>
    </row>
    <row r="491" spans="2:2">
      <c r="B491" s="275"/>
    </row>
    <row r="492" spans="2:2">
      <c r="B492" s="275"/>
    </row>
    <row r="493" spans="2:2">
      <c r="B493" s="275"/>
    </row>
    <row r="494" spans="2:2">
      <c r="B494" s="275"/>
    </row>
    <row r="495" spans="2:2">
      <c r="B495" s="275"/>
    </row>
    <row r="496" spans="2:2">
      <c r="B496" s="275"/>
    </row>
    <row r="497" spans="2:2">
      <c r="B497" s="275"/>
    </row>
    <row r="498" spans="2:2">
      <c r="B498" s="275"/>
    </row>
    <row r="499" spans="2:2">
      <c r="B499" s="275"/>
    </row>
    <row r="500" spans="2:2">
      <c r="B500" s="275"/>
    </row>
    <row r="501" spans="2:2">
      <c r="B501" s="275"/>
    </row>
    <row r="502" spans="2:2">
      <c r="B502" s="275"/>
    </row>
    <row r="503" spans="2:2">
      <c r="B503" s="275"/>
    </row>
    <row r="504" spans="2:2">
      <c r="B504" s="275"/>
    </row>
    <row r="505" spans="2:2">
      <c r="B505" s="275"/>
    </row>
    <row r="506" spans="2:2">
      <c r="B506" s="275"/>
    </row>
    <row r="507" spans="2:2">
      <c r="B507" s="275"/>
    </row>
    <row r="508" spans="2:2">
      <c r="B508" s="275"/>
    </row>
    <row r="509" spans="2:2">
      <c r="B509" s="275"/>
    </row>
    <row r="510" spans="2:2">
      <c r="B510" s="275"/>
    </row>
    <row r="511" spans="2:2">
      <c r="B511" s="275"/>
    </row>
    <row r="512" spans="2:2">
      <c r="B512" s="275"/>
    </row>
    <row r="513" spans="2:2">
      <c r="B513" s="275"/>
    </row>
    <row r="514" spans="2:2">
      <c r="B514" s="275"/>
    </row>
    <row r="515" spans="2:2">
      <c r="B515" s="275"/>
    </row>
    <row r="516" spans="2:2">
      <c r="B516" s="275"/>
    </row>
    <row r="517" spans="2:2">
      <c r="B517" s="275"/>
    </row>
    <row r="518" spans="2:2">
      <c r="B518" s="275"/>
    </row>
    <row r="519" spans="2:2">
      <c r="B519" s="275"/>
    </row>
    <row r="520" spans="2:2">
      <c r="B520" s="275"/>
    </row>
    <row r="521" spans="2:2">
      <c r="B521" s="275"/>
    </row>
    <row r="522" spans="2:2">
      <c r="B522" s="275"/>
    </row>
    <row r="523" spans="2:2">
      <c r="B523" s="275"/>
    </row>
    <row r="524" spans="2:2">
      <c r="B524" s="275"/>
    </row>
    <row r="525" spans="2:2">
      <c r="B525" s="275"/>
    </row>
    <row r="526" spans="2:2">
      <c r="B526" s="275"/>
    </row>
    <row r="527" spans="2:2">
      <c r="B527" s="275"/>
    </row>
    <row r="528" spans="2:2">
      <c r="B528" s="275"/>
    </row>
    <row r="529" spans="2:2">
      <c r="B529" s="275"/>
    </row>
    <row r="530" spans="2:2">
      <c r="B530" s="275"/>
    </row>
    <row r="531" spans="2:2">
      <c r="B531" s="275"/>
    </row>
    <row r="532" spans="2:2">
      <c r="B532" s="275"/>
    </row>
    <row r="533" spans="2:2">
      <c r="B533" s="275"/>
    </row>
    <row r="534" spans="2:2">
      <c r="B534" s="275"/>
    </row>
    <row r="535" spans="2:2">
      <c r="B535" s="275"/>
    </row>
    <row r="536" spans="2:2">
      <c r="B536" s="275"/>
    </row>
    <row r="537" spans="2:2">
      <c r="B537" s="275"/>
    </row>
    <row r="538" spans="2:2">
      <c r="B538" s="275"/>
    </row>
    <row r="539" spans="2:2">
      <c r="B539" s="275"/>
    </row>
    <row r="540" spans="2:2">
      <c r="B540" s="275"/>
    </row>
    <row r="541" spans="2:2">
      <c r="B541" s="275"/>
    </row>
    <row r="542" spans="2:2">
      <c r="B542" s="275"/>
    </row>
    <row r="543" spans="2:2">
      <c r="B543" s="275"/>
    </row>
    <row r="544" spans="2:2">
      <c r="B544" s="275"/>
    </row>
    <row r="545" spans="2:2">
      <c r="B545" s="275"/>
    </row>
    <row r="546" spans="2:2">
      <c r="B546" s="275"/>
    </row>
    <row r="547" spans="2:2">
      <c r="B547" s="275"/>
    </row>
    <row r="548" spans="2:2">
      <c r="B548" s="275"/>
    </row>
    <row r="549" spans="2:2">
      <c r="B549" s="275"/>
    </row>
    <row r="550" spans="2:2">
      <c r="B550" s="275"/>
    </row>
    <row r="551" spans="2:2">
      <c r="B551" s="275"/>
    </row>
    <row r="552" spans="2:2">
      <c r="B552" s="275"/>
    </row>
    <row r="553" spans="2:2">
      <c r="B553" s="275"/>
    </row>
    <row r="554" spans="2:2">
      <c r="B554" s="275"/>
    </row>
    <row r="555" spans="2:2">
      <c r="B555" s="275"/>
    </row>
    <row r="556" spans="2:2">
      <c r="B556" s="275"/>
    </row>
    <row r="557" spans="2:2">
      <c r="B557" s="275"/>
    </row>
    <row r="558" spans="2:2">
      <c r="B558" s="275"/>
    </row>
    <row r="559" spans="2:2">
      <c r="B559" s="275"/>
    </row>
    <row r="560" spans="2:2">
      <c r="B560" s="275"/>
    </row>
    <row r="561" spans="2:2">
      <c r="B561" s="275"/>
    </row>
    <row r="562" spans="2:2">
      <c r="B562" s="275"/>
    </row>
    <row r="563" spans="2:2">
      <c r="B563" s="275"/>
    </row>
    <row r="564" spans="2:2">
      <c r="B564" s="275"/>
    </row>
    <row r="565" spans="2:2">
      <c r="B565" s="275"/>
    </row>
    <row r="566" spans="2:2">
      <c r="B566" s="275"/>
    </row>
  </sheetData>
  <mergeCells count="6">
    <mergeCell ref="C344:E344"/>
    <mergeCell ref="F344:H344"/>
    <mergeCell ref="B2:H2"/>
    <mergeCell ref="A6:B6"/>
    <mergeCell ref="F343:H343"/>
    <mergeCell ref="C343:E343"/>
  </mergeCells>
  <pageMargins left="0.39370078740157483" right="0.39370078740157483" top="0.78740157480314965" bottom="0.39370078740157483" header="0.31496062992125984" footer="0.31496062992125984"/>
  <pageSetup paperSize="9" scale="67" fitToHeight="114" orientation="landscape" r:id="rId1"/>
  <rowBreaks count="1" manualBreakCount="1">
    <brk id="29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T364"/>
  <sheetViews>
    <sheetView view="pageBreakPreview" topLeftCell="A103" zoomScale="60" zoomScaleNormal="100" workbookViewId="0">
      <selection activeCell="U165" sqref="U165"/>
    </sheetView>
  </sheetViews>
  <sheetFormatPr defaultRowHeight="18.75"/>
  <cols>
    <col min="1" max="1" width="60.28515625" style="22" customWidth="1"/>
    <col min="2" max="2" width="12" style="124" customWidth="1"/>
    <col min="3" max="3" width="16.140625" style="124" customWidth="1"/>
    <col min="4" max="4" width="16.7109375" style="124" customWidth="1"/>
    <col min="5" max="5" width="16.140625" style="124" customWidth="1"/>
    <col min="6" max="6" width="16" style="124" customWidth="1"/>
    <col min="7" max="7" width="16.42578125" style="22" customWidth="1"/>
    <col min="8" max="9" width="9.140625" style="22"/>
    <col min="10" max="10" width="10.5703125" style="22" bestFit="1" customWidth="1"/>
    <col min="11" max="19" width="9.140625" style="22"/>
    <col min="20" max="20" width="12" style="22" bestFit="1" customWidth="1"/>
    <col min="21" max="16384" width="9.140625" style="22"/>
  </cols>
  <sheetData>
    <row r="1" spans="1:20" ht="27.75" customHeight="1">
      <c r="A1" s="324" t="s">
        <v>103</v>
      </c>
      <c r="B1" s="324"/>
      <c r="C1" s="324"/>
      <c r="D1" s="324"/>
      <c r="E1" s="324"/>
      <c r="F1" s="324"/>
    </row>
    <row r="2" spans="1:20" ht="19.5" customHeight="1">
      <c r="A2" s="89"/>
      <c r="B2" s="90"/>
      <c r="C2" s="89"/>
      <c r="D2" s="89"/>
      <c r="E2" s="89"/>
      <c r="F2" s="90"/>
      <c r="G2" s="127" t="s">
        <v>64</v>
      </c>
    </row>
    <row r="3" spans="1:20" ht="64.5" customHeight="1">
      <c r="A3" s="94" t="s">
        <v>23</v>
      </c>
      <c r="B3" s="88" t="s">
        <v>5</v>
      </c>
      <c r="C3" s="73" t="s">
        <v>410</v>
      </c>
      <c r="D3" s="88" t="s">
        <v>411</v>
      </c>
      <c r="E3" s="88" t="s">
        <v>412</v>
      </c>
      <c r="F3" s="128" t="s">
        <v>114</v>
      </c>
      <c r="G3" s="129" t="s">
        <v>115</v>
      </c>
    </row>
    <row r="4" spans="1:20" ht="18" customHeight="1">
      <c r="A4" s="95">
        <v>1</v>
      </c>
      <c r="B4" s="73">
        <v>2</v>
      </c>
      <c r="C4" s="73">
        <v>3</v>
      </c>
      <c r="D4" s="73">
        <v>4</v>
      </c>
      <c r="E4" s="73">
        <v>5</v>
      </c>
      <c r="F4" s="73">
        <v>6</v>
      </c>
      <c r="G4" s="95">
        <v>7</v>
      </c>
    </row>
    <row r="5" spans="1:20" ht="37.5" customHeight="1">
      <c r="A5" s="76" t="s">
        <v>13</v>
      </c>
      <c r="B5" s="72">
        <v>4000</v>
      </c>
      <c r="C5" s="19">
        <f>C6+C39+C138</f>
        <v>975.59999999999991</v>
      </c>
      <c r="D5" s="19">
        <f>D6+D39+D138</f>
        <v>0</v>
      </c>
      <c r="E5" s="19">
        <f>E6+E39+E138</f>
        <v>10068.199999999999</v>
      </c>
      <c r="F5" s="19">
        <f>E5-D5</f>
        <v>10068.199999999999</v>
      </c>
      <c r="G5" s="146" t="e">
        <f>(E5/D5)*100</f>
        <v>#DIV/0!</v>
      </c>
    </row>
    <row r="6" spans="1:20" ht="27.75" customHeight="1">
      <c r="A6" s="136" t="s">
        <v>0</v>
      </c>
      <c r="B6" s="87">
        <v>4020</v>
      </c>
      <c r="C6" s="130">
        <f>SUM(C7:C38)</f>
        <v>767.8</v>
      </c>
      <c r="D6" s="130">
        <f>D21</f>
        <v>0</v>
      </c>
      <c r="E6" s="130">
        <f>SUM(E7:E38)</f>
        <v>8926.9</v>
      </c>
      <c r="F6" s="130">
        <f>E6-D6</f>
        <v>8926.9</v>
      </c>
      <c r="G6" s="146" t="e">
        <f>(E6/D6)*100</f>
        <v>#DIV/0!</v>
      </c>
    </row>
    <row r="7" spans="1:20" ht="27.75" customHeight="1">
      <c r="A7" s="131" t="s">
        <v>295</v>
      </c>
      <c r="B7" s="79"/>
      <c r="C7" s="20">
        <v>103.7</v>
      </c>
      <c r="D7" s="24"/>
      <c r="E7" s="24"/>
      <c r="F7" s="130">
        <f t="shared" ref="F7:F70" si="0">E7-D7</f>
        <v>0</v>
      </c>
      <c r="G7" s="146" t="e">
        <f t="shared" ref="G7:G70" si="1">(E7/D7)*100</f>
        <v>#DIV/0!</v>
      </c>
    </row>
    <row r="8" spans="1:20" ht="31.5" customHeight="1">
      <c r="A8" s="77" t="s">
        <v>296</v>
      </c>
      <c r="B8" s="79"/>
      <c r="C8" s="20">
        <v>22</v>
      </c>
      <c r="D8" s="24"/>
      <c r="E8" s="24"/>
      <c r="F8" s="130">
        <f t="shared" si="0"/>
        <v>0</v>
      </c>
      <c r="G8" s="146" t="e">
        <f t="shared" si="1"/>
        <v>#DIV/0!</v>
      </c>
    </row>
    <row r="9" spans="1:20" ht="27.75" customHeight="1">
      <c r="A9" s="77" t="s">
        <v>297</v>
      </c>
      <c r="B9" s="79"/>
      <c r="C9" s="20">
        <v>6.4</v>
      </c>
      <c r="D9" s="24"/>
      <c r="E9" s="24"/>
      <c r="F9" s="130">
        <f t="shared" si="0"/>
        <v>0</v>
      </c>
      <c r="G9" s="146" t="e">
        <f t="shared" si="1"/>
        <v>#DIV/0!</v>
      </c>
    </row>
    <row r="10" spans="1:20" ht="27.75" customHeight="1">
      <c r="A10" s="77" t="s">
        <v>298</v>
      </c>
      <c r="B10" s="79"/>
      <c r="C10" s="20">
        <v>7.2</v>
      </c>
      <c r="D10" s="24"/>
      <c r="E10" s="24"/>
      <c r="F10" s="130">
        <f t="shared" si="0"/>
        <v>0</v>
      </c>
      <c r="G10" s="146" t="e">
        <f t="shared" si="1"/>
        <v>#DIV/0!</v>
      </c>
    </row>
    <row r="11" spans="1:20" ht="27.75" customHeight="1">
      <c r="A11" s="77" t="s">
        <v>299</v>
      </c>
      <c r="B11" s="79"/>
      <c r="C11" s="20">
        <v>8.1</v>
      </c>
      <c r="D11" s="24"/>
      <c r="E11" s="24"/>
      <c r="F11" s="130">
        <f t="shared" si="0"/>
        <v>0</v>
      </c>
      <c r="G11" s="146" t="e">
        <f t="shared" si="1"/>
        <v>#DIV/0!</v>
      </c>
    </row>
    <row r="12" spans="1:20" ht="27.75" customHeight="1">
      <c r="A12" s="77" t="s">
        <v>305</v>
      </c>
      <c r="B12" s="79"/>
      <c r="C12" s="20">
        <v>78.7</v>
      </c>
      <c r="D12" s="24"/>
      <c r="E12" s="24"/>
      <c r="F12" s="130">
        <f t="shared" si="0"/>
        <v>0</v>
      </c>
      <c r="G12" s="146" t="e">
        <f t="shared" si="1"/>
        <v>#DIV/0!</v>
      </c>
    </row>
    <row r="13" spans="1:20" ht="40.5" customHeight="1">
      <c r="A13" s="77" t="s">
        <v>300</v>
      </c>
      <c r="B13" s="79"/>
      <c r="C13" s="20">
        <v>16.600000000000001</v>
      </c>
      <c r="D13" s="24"/>
      <c r="E13" s="24"/>
      <c r="F13" s="130">
        <f t="shared" si="0"/>
        <v>0</v>
      </c>
      <c r="G13" s="146" t="e">
        <f t="shared" si="1"/>
        <v>#DIV/0!</v>
      </c>
      <c r="T13" s="99"/>
    </row>
    <row r="14" spans="1:20" ht="27.75" customHeight="1">
      <c r="A14" s="77" t="s">
        <v>301</v>
      </c>
      <c r="B14" s="79"/>
      <c r="C14" s="20">
        <v>6</v>
      </c>
      <c r="D14" s="24"/>
      <c r="E14" s="24"/>
      <c r="F14" s="130">
        <f t="shared" si="0"/>
        <v>0</v>
      </c>
      <c r="G14" s="146" t="e">
        <f t="shared" si="1"/>
        <v>#DIV/0!</v>
      </c>
    </row>
    <row r="15" spans="1:20" ht="27.75" customHeight="1">
      <c r="A15" s="77" t="s">
        <v>302</v>
      </c>
      <c r="B15" s="79"/>
      <c r="C15" s="20">
        <v>26.2</v>
      </c>
      <c r="D15" s="24"/>
      <c r="E15" s="24"/>
      <c r="F15" s="130">
        <f t="shared" si="0"/>
        <v>0</v>
      </c>
      <c r="G15" s="146" t="e">
        <f t="shared" si="1"/>
        <v>#DIV/0!</v>
      </c>
    </row>
    <row r="16" spans="1:20" ht="41.25" customHeight="1">
      <c r="A16" s="77" t="s">
        <v>303</v>
      </c>
      <c r="B16" s="79"/>
      <c r="C16" s="20">
        <v>28.2</v>
      </c>
      <c r="D16" s="24"/>
      <c r="E16" s="24"/>
      <c r="F16" s="130">
        <f t="shared" si="0"/>
        <v>0</v>
      </c>
      <c r="G16" s="146" t="e">
        <f t="shared" si="1"/>
        <v>#DIV/0!</v>
      </c>
    </row>
    <row r="17" spans="1:7" ht="27.75" customHeight="1">
      <c r="A17" s="77" t="s">
        <v>304</v>
      </c>
      <c r="B17" s="79"/>
      <c r="C17" s="20">
        <v>17.899999999999999</v>
      </c>
      <c r="D17" s="24"/>
      <c r="E17" s="24"/>
      <c r="F17" s="130">
        <f t="shared" si="0"/>
        <v>0</v>
      </c>
      <c r="G17" s="146" t="e">
        <f t="shared" si="1"/>
        <v>#DIV/0!</v>
      </c>
    </row>
    <row r="18" spans="1:7" ht="27.75" customHeight="1">
      <c r="A18" s="77" t="s">
        <v>475</v>
      </c>
      <c r="B18" s="79"/>
      <c r="C18" s="20">
        <v>7.5</v>
      </c>
      <c r="D18" s="24"/>
      <c r="E18" s="24"/>
      <c r="F18" s="130">
        <f t="shared" si="0"/>
        <v>0</v>
      </c>
      <c r="G18" s="146" t="e">
        <f t="shared" si="1"/>
        <v>#DIV/0!</v>
      </c>
    </row>
    <row r="19" spans="1:7" ht="27.75" customHeight="1">
      <c r="A19" s="77" t="s">
        <v>476</v>
      </c>
      <c r="B19" s="79"/>
      <c r="C19" s="20">
        <v>13.6</v>
      </c>
      <c r="D19" s="24"/>
      <c r="E19" s="24"/>
      <c r="F19" s="130">
        <f t="shared" si="0"/>
        <v>0</v>
      </c>
      <c r="G19" s="146" t="e">
        <f t="shared" si="1"/>
        <v>#DIV/0!</v>
      </c>
    </row>
    <row r="20" spans="1:7" ht="27.75" customHeight="1">
      <c r="A20" s="77" t="s">
        <v>477</v>
      </c>
      <c r="B20" s="79"/>
      <c r="C20" s="20">
        <v>58.5</v>
      </c>
      <c r="D20" s="24"/>
      <c r="E20" s="24"/>
      <c r="F20" s="130">
        <f t="shared" si="0"/>
        <v>0</v>
      </c>
      <c r="G20" s="146" t="e">
        <f t="shared" si="1"/>
        <v>#DIV/0!</v>
      </c>
    </row>
    <row r="21" spans="1:7" ht="27.75" customHeight="1">
      <c r="A21" s="77" t="s">
        <v>223</v>
      </c>
      <c r="B21" s="73"/>
      <c r="C21" s="20"/>
      <c r="D21" s="20"/>
      <c r="E21" s="20">
        <v>162.5</v>
      </c>
      <c r="F21" s="20">
        <f t="shared" si="0"/>
        <v>162.5</v>
      </c>
      <c r="G21" s="146" t="e">
        <f t="shared" si="1"/>
        <v>#DIV/0!</v>
      </c>
    </row>
    <row r="22" spans="1:7" ht="37.5" customHeight="1">
      <c r="A22" s="132" t="s">
        <v>341</v>
      </c>
      <c r="B22" s="73"/>
      <c r="C22" s="20"/>
      <c r="D22" s="20"/>
      <c r="E22" s="20">
        <v>103.9</v>
      </c>
      <c r="F22" s="20">
        <f t="shared" si="0"/>
        <v>103.9</v>
      </c>
      <c r="G22" s="146" t="e">
        <f t="shared" si="1"/>
        <v>#DIV/0!</v>
      </c>
    </row>
    <row r="23" spans="1:7" ht="37.5" customHeight="1">
      <c r="A23" s="132" t="s">
        <v>342</v>
      </c>
      <c r="B23" s="73"/>
      <c r="C23" s="20"/>
      <c r="D23" s="20"/>
      <c r="E23" s="20">
        <v>158.6</v>
      </c>
      <c r="F23" s="20">
        <f t="shared" si="0"/>
        <v>158.6</v>
      </c>
      <c r="G23" s="146" t="e">
        <f t="shared" si="1"/>
        <v>#DIV/0!</v>
      </c>
    </row>
    <row r="24" spans="1:7" ht="26.25" customHeight="1">
      <c r="A24" s="132" t="s">
        <v>343</v>
      </c>
      <c r="B24" s="73"/>
      <c r="C24" s="20"/>
      <c r="D24" s="20"/>
      <c r="E24" s="20">
        <v>50.4</v>
      </c>
      <c r="F24" s="20">
        <f t="shared" si="0"/>
        <v>50.4</v>
      </c>
      <c r="G24" s="146" t="e">
        <f t="shared" si="1"/>
        <v>#DIV/0!</v>
      </c>
    </row>
    <row r="25" spans="1:7" ht="37.5" customHeight="1">
      <c r="A25" s="132" t="s">
        <v>362</v>
      </c>
      <c r="B25" s="73"/>
      <c r="C25" s="20"/>
      <c r="D25" s="20"/>
      <c r="E25" s="20">
        <v>2022.6</v>
      </c>
      <c r="F25" s="20">
        <f t="shared" si="0"/>
        <v>2022.6</v>
      </c>
      <c r="G25" s="146" t="e">
        <f t="shared" si="1"/>
        <v>#DIV/0!</v>
      </c>
    </row>
    <row r="26" spans="1:7" ht="23.25" customHeight="1">
      <c r="A26" s="132" t="s">
        <v>363</v>
      </c>
      <c r="B26" s="73"/>
      <c r="C26" s="20"/>
      <c r="D26" s="20"/>
      <c r="E26" s="20">
        <v>455.4</v>
      </c>
      <c r="F26" s="20">
        <f t="shared" si="0"/>
        <v>455.4</v>
      </c>
      <c r="G26" s="146" t="e">
        <f t="shared" si="1"/>
        <v>#DIV/0!</v>
      </c>
    </row>
    <row r="27" spans="1:7" ht="24" customHeight="1">
      <c r="A27" s="133" t="s">
        <v>364</v>
      </c>
      <c r="B27" s="73"/>
      <c r="C27" s="20"/>
      <c r="D27" s="20"/>
      <c r="E27" s="20">
        <v>235.3</v>
      </c>
      <c r="F27" s="20">
        <f t="shared" si="0"/>
        <v>235.3</v>
      </c>
      <c r="G27" s="146" t="e">
        <f t="shared" si="1"/>
        <v>#DIV/0!</v>
      </c>
    </row>
    <row r="28" spans="1:7" ht="37.5" customHeight="1">
      <c r="A28" s="132" t="s">
        <v>365</v>
      </c>
      <c r="B28" s="73"/>
      <c r="C28" s="20"/>
      <c r="D28" s="20"/>
      <c r="E28" s="20">
        <v>307.5</v>
      </c>
      <c r="F28" s="20">
        <f t="shared" si="0"/>
        <v>307.5</v>
      </c>
      <c r="G28" s="146" t="e">
        <f t="shared" si="1"/>
        <v>#DIV/0!</v>
      </c>
    </row>
    <row r="29" spans="1:7" ht="37.5" customHeight="1">
      <c r="A29" s="132" t="s">
        <v>424</v>
      </c>
      <c r="B29" s="73"/>
      <c r="C29" s="20"/>
      <c r="D29" s="20"/>
      <c r="E29" s="20">
        <v>45.7</v>
      </c>
      <c r="F29" s="20">
        <f t="shared" si="0"/>
        <v>45.7</v>
      </c>
      <c r="G29" s="146" t="e">
        <f t="shared" si="1"/>
        <v>#DIV/0!</v>
      </c>
    </row>
    <row r="30" spans="1:7" ht="24.75" customHeight="1">
      <c r="A30" s="132" t="s">
        <v>425</v>
      </c>
      <c r="B30" s="73"/>
      <c r="C30" s="20"/>
      <c r="D30" s="20"/>
      <c r="E30" s="20">
        <v>106.1</v>
      </c>
      <c r="F30" s="20">
        <f t="shared" si="0"/>
        <v>106.1</v>
      </c>
      <c r="G30" s="146" t="e">
        <f t="shared" si="1"/>
        <v>#DIV/0!</v>
      </c>
    </row>
    <row r="31" spans="1:7" ht="37.5" customHeight="1">
      <c r="A31" s="132" t="s">
        <v>426</v>
      </c>
      <c r="B31" s="73"/>
      <c r="C31" s="20"/>
      <c r="D31" s="20"/>
      <c r="E31" s="20">
        <v>341.1</v>
      </c>
      <c r="F31" s="20">
        <f t="shared" si="0"/>
        <v>341.1</v>
      </c>
      <c r="G31" s="146" t="e">
        <f t="shared" si="1"/>
        <v>#DIV/0!</v>
      </c>
    </row>
    <row r="32" spans="1:7" ht="22.5" customHeight="1">
      <c r="A32" s="132" t="s">
        <v>463</v>
      </c>
      <c r="B32" s="73"/>
      <c r="C32" s="20"/>
      <c r="D32" s="20"/>
      <c r="E32" s="20">
        <v>3650</v>
      </c>
      <c r="F32" s="20">
        <f t="shared" si="0"/>
        <v>3650</v>
      </c>
      <c r="G32" s="146" t="e">
        <f t="shared" si="1"/>
        <v>#DIV/0!</v>
      </c>
    </row>
    <row r="33" spans="1:10" ht="26.25" customHeight="1">
      <c r="A33" s="132" t="s">
        <v>464</v>
      </c>
      <c r="B33" s="73"/>
      <c r="C33" s="20"/>
      <c r="D33" s="20"/>
      <c r="E33" s="20">
        <v>290</v>
      </c>
      <c r="F33" s="20">
        <f t="shared" si="0"/>
        <v>290</v>
      </c>
      <c r="G33" s="146" t="e">
        <f t="shared" si="1"/>
        <v>#DIV/0!</v>
      </c>
    </row>
    <row r="34" spans="1:10" ht="21" customHeight="1">
      <c r="A34" s="132" t="s">
        <v>465</v>
      </c>
      <c r="B34" s="73"/>
      <c r="C34" s="20"/>
      <c r="D34" s="20"/>
      <c r="E34" s="20">
        <v>46</v>
      </c>
      <c r="F34" s="20">
        <f t="shared" si="0"/>
        <v>46</v>
      </c>
      <c r="G34" s="146" t="e">
        <f t="shared" si="1"/>
        <v>#DIV/0!</v>
      </c>
    </row>
    <row r="35" spans="1:10" ht="22.5" customHeight="1">
      <c r="A35" s="132" t="s">
        <v>465</v>
      </c>
      <c r="B35" s="73"/>
      <c r="C35" s="20"/>
      <c r="D35" s="20"/>
      <c r="E35" s="20">
        <v>40</v>
      </c>
      <c r="F35" s="20">
        <f t="shared" si="0"/>
        <v>40</v>
      </c>
      <c r="G35" s="146" t="e">
        <f t="shared" si="1"/>
        <v>#DIV/0!</v>
      </c>
    </row>
    <row r="36" spans="1:10" ht="37.5" customHeight="1">
      <c r="A36" s="132" t="s">
        <v>466</v>
      </c>
      <c r="B36" s="73"/>
      <c r="C36" s="20"/>
      <c r="D36" s="20"/>
      <c r="E36" s="20">
        <v>911.8</v>
      </c>
      <c r="F36" s="130" t="s">
        <v>545</v>
      </c>
      <c r="G36" s="146" t="e">
        <f t="shared" si="1"/>
        <v>#DIV/0!</v>
      </c>
    </row>
    <row r="37" spans="1:10" ht="24" customHeight="1">
      <c r="A37" s="132" t="s">
        <v>474</v>
      </c>
      <c r="B37" s="73"/>
      <c r="C37" s="20">
        <v>302.8</v>
      </c>
      <c r="D37" s="20"/>
      <c r="E37" s="20"/>
      <c r="F37" s="130">
        <f t="shared" si="0"/>
        <v>0</v>
      </c>
      <c r="G37" s="146" t="e">
        <f t="shared" si="1"/>
        <v>#DIV/0!</v>
      </c>
    </row>
    <row r="38" spans="1:10" ht="52.5" customHeight="1">
      <c r="A38" s="77" t="s">
        <v>255</v>
      </c>
      <c r="B38" s="79"/>
      <c r="C38" s="24">
        <v>64.400000000000006</v>
      </c>
      <c r="D38" s="24"/>
      <c r="E38" s="24"/>
      <c r="F38" s="130">
        <f t="shared" si="0"/>
        <v>0</v>
      </c>
      <c r="G38" s="146" t="e">
        <f t="shared" si="1"/>
        <v>#DIV/0!</v>
      </c>
    </row>
    <row r="39" spans="1:10" s="83" customFormat="1" ht="38.25" customHeight="1">
      <c r="A39" s="75" t="s">
        <v>7</v>
      </c>
      <c r="B39" s="134">
        <v>4030</v>
      </c>
      <c r="C39" s="24">
        <f>SUM(C40:C137)</f>
        <v>207.79999999999998</v>
      </c>
      <c r="D39" s="24">
        <f>D83</f>
        <v>0</v>
      </c>
      <c r="E39" s="24">
        <f>SUM(E40:E137)</f>
        <v>676.39999999999986</v>
      </c>
      <c r="F39" s="130">
        <f t="shared" si="0"/>
        <v>676.39999999999986</v>
      </c>
      <c r="G39" s="146" t="e">
        <f t="shared" si="1"/>
        <v>#DIV/0!</v>
      </c>
    </row>
    <row r="40" spans="1:10" s="83" customFormat="1" ht="38.25" customHeight="1">
      <c r="A40" s="77" t="s">
        <v>306</v>
      </c>
      <c r="B40" s="134"/>
      <c r="C40" s="24">
        <v>5.8</v>
      </c>
      <c r="D40" s="24"/>
      <c r="E40" s="24"/>
      <c r="F40" s="130">
        <f t="shared" si="0"/>
        <v>0</v>
      </c>
      <c r="G40" s="146" t="e">
        <f t="shared" si="1"/>
        <v>#DIV/0!</v>
      </c>
      <c r="J40" s="100"/>
    </row>
    <row r="41" spans="1:10" s="83" customFormat="1" ht="24.75" customHeight="1">
      <c r="A41" s="77" t="s">
        <v>307</v>
      </c>
      <c r="B41" s="134"/>
      <c r="C41" s="24">
        <v>5</v>
      </c>
      <c r="D41" s="24"/>
      <c r="E41" s="24"/>
      <c r="F41" s="130">
        <f t="shared" si="0"/>
        <v>0</v>
      </c>
      <c r="G41" s="146" t="e">
        <f t="shared" si="1"/>
        <v>#DIV/0!</v>
      </c>
    </row>
    <row r="42" spans="1:10" s="83" customFormat="1" ht="28.5" customHeight="1">
      <c r="A42" s="77" t="s">
        <v>308</v>
      </c>
      <c r="B42" s="134"/>
      <c r="C42" s="24">
        <v>5.2</v>
      </c>
      <c r="D42" s="24"/>
      <c r="E42" s="24"/>
      <c r="F42" s="130">
        <f t="shared" si="0"/>
        <v>0</v>
      </c>
      <c r="G42" s="146" t="e">
        <f t="shared" si="1"/>
        <v>#DIV/0!</v>
      </c>
    </row>
    <row r="43" spans="1:10" s="83" customFormat="1" ht="38.25" customHeight="1">
      <c r="A43" s="77" t="s">
        <v>309</v>
      </c>
      <c r="B43" s="134"/>
      <c r="C43" s="20">
        <v>25.2</v>
      </c>
      <c r="D43" s="24"/>
      <c r="E43" s="24"/>
      <c r="F43" s="130">
        <f t="shared" si="0"/>
        <v>0</v>
      </c>
      <c r="G43" s="146" t="e">
        <f t="shared" si="1"/>
        <v>#DIV/0!</v>
      </c>
    </row>
    <row r="44" spans="1:10" s="83" customFormat="1" ht="24.75" customHeight="1">
      <c r="A44" s="77" t="s">
        <v>310</v>
      </c>
      <c r="B44" s="134"/>
      <c r="C44" s="20">
        <v>16.8</v>
      </c>
      <c r="D44" s="24"/>
      <c r="E44" s="24"/>
      <c r="F44" s="130">
        <f t="shared" si="0"/>
        <v>0</v>
      </c>
      <c r="G44" s="146" t="e">
        <f t="shared" si="1"/>
        <v>#DIV/0!</v>
      </c>
    </row>
    <row r="45" spans="1:10" s="83" customFormat="1" ht="24.75" customHeight="1">
      <c r="A45" s="77" t="s">
        <v>311</v>
      </c>
      <c r="B45" s="134"/>
      <c r="C45" s="20">
        <v>1.3</v>
      </c>
      <c r="D45" s="24"/>
      <c r="E45" s="24"/>
      <c r="F45" s="130">
        <f t="shared" si="0"/>
        <v>0</v>
      </c>
      <c r="G45" s="146" t="e">
        <f t="shared" si="1"/>
        <v>#DIV/0!</v>
      </c>
    </row>
    <row r="46" spans="1:10" s="83" customFormat="1" ht="27" customHeight="1">
      <c r="A46" s="77" t="s">
        <v>312</v>
      </c>
      <c r="B46" s="134"/>
      <c r="C46" s="20">
        <v>4.9000000000000004</v>
      </c>
      <c r="D46" s="24"/>
      <c r="E46" s="24"/>
      <c r="F46" s="130">
        <f t="shared" si="0"/>
        <v>0</v>
      </c>
      <c r="G46" s="146" t="e">
        <f t="shared" si="1"/>
        <v>#DIV/0!</v>
      </c>
    </row>
    <row r="47" spans="1:10" s="83" customFormat="1" ht="25.5" customHeight="1">
      <c r="A47" s="77" t="s">
        <v>313</v>
      </c>
      <c r="B47" s="134"/>
      <c r="C47" s="20">
        <v>2.2999999999999998</v>
      </c>
      <c r="D47" s="24"/>
      <c r="E47" s="24"/>
      <c r="F47" s="130">
        <f t="shared" si="0"/>
        <v>0</v>
      </c>
      <c r="G47" s="146" t="e">
        <f t="shared" si="1"/>
        <v>#DIV/0!</v>
      </c>
    </row>
    <row r="48" spans="1:10" s="83" customFormat="1" ht="27" customHeight="1">
      <c r="A48" s="77" t="s">
        <v>314</v>
      </c>
      <c r="B48" s="134"/>
      <c r="C48" s="20">
        <v>0.4</v>
      </c>
      <c r="D48" s="24"/>
      <c r="E48" s="24"/>
      <c r="F48" s="130">
        <f t="shared" si="0"/>
        <v>0</v>
      </c>
      <c r="G48" s="146" t="e">
        <f t="shared" si="1"/>
        <v>#DIV/0!</v>
      </c>
    </row>
    <row r="49" spans="1:7" s="83" customFormat="1" ht="25.5" customHeight="1">
      <c r="A49" s="77" t="s">
        <v>315</v>
      </c>
      <c r="B49" s="134"/>
      <c r="C49" s="20">
        <v>2.9</v>
      </c>
      <c r="D49" s="24"/>
      <c r="E49" s="24"/>
      <c r="F49" s="130">
        <f t="shared" si="0"/>
        <v>0</v>
      </c>
      <c r="G49" s="146" t="e">
        <f t="shared" si="1"/>
        <v>#DIV/0!</v>
      </c>
    </row>
    <row r="50" spans="1:7" s="83" customFormat="1" ht="38.25" customHeight="1">
      <c r="A50" s="77" t="s">
        <v>316</v>
      </c>
      <c r="B50" s="134"/>
      <c r="C50" s="20">
        <v>4.8</v>
      </c>
      <c r="D50" s="24"/>
      <c r="E50" s="24"/>
      <c r="F50" s="130">
        <f t="shared" si="0"/>
        <v>0</v>
      </c>
      <c r="G50" s="146" t="e">
        <f t="shared" si="1"/>
        <v>#DIV/0!</v>
      </c>
    </row>
    <row r="51" spans="1:7" s="83" customFormat="1" ht="32.25" customHeight="1">
      <c r="A51" s="77" t="s">
        <v>317</v>
      </c>
      <c r="B51" s="134"/>
      <c r="C51" s="20">
        <v>6.2</v>
      </c>
      <c r="D51" s="24"/>
      <c r="E51" s="24"/>
      <c r="F51" s="130">
        <f t="shared" si="0"/>
        <v>0</v>
      </c>
      <c r="G51" s="146" t="e">
        <f t="shared" si="1"/>
        <v>#DIV/0!</v>
      </c>
    </row>
    <row r="52" spans="1:7" s="83" customFormat="1" ht="27" customHeight="1">
      <c r="A52" s="77" t="s">
        <v>318</v>
      </c>
      <c r="B52" s="134"/>
      <c r="C52" s="20">
        <v>1.5</v>
      </c>
      <c r="D52" s="24"/>
      <c r="E52" s="24"/>
      <c r="F52" s="130">
        <f t="shared" si="0"/>
        <v>0</v>
      </c>
      <c r="G52" s="146" t="e">
        <f t="shared" si="1"/>
        <v>#DIV/0!</v>
      </c>
    </row>
    <row r="53" spans="1:7" s="83" customFormat="1" ht="23.25" customHeight="1">
      <c r="A53" s="77" t="s">
        <v>319</v>
      </c>
      <c r="B53" s="134"/>
      <c r="C53" s="20">
        <v>9.9</v>
      </c>
      <c r="D53" s="24"/>
      <c r="E53" s="24"/>
      <c r="F53" s="130">
        <f t="shared" si="0"/>
        <v>0</v>
      </c>
      <c r="G53" s="146" t="e">
        <f t="shared" si="1"/>
        <v>#DIV/0!</v>
      </c>
    </row>
    <row r="54" spans="1:7" s="83" customFormat="1" ht="32.25" customHeight="1">
      <c r="A54" s="77" t="s">
        <v>320</v>
      </c>
      <c r="B54" s="134"/>
      <c r="C54" s="20">
        <v>4.5</v>
      </c>
      <c r="D54" s="24"/>
      <c r="E54" s="24"/>
      <c r="F54" s="130">
        <f t="shared" si="0"/>
        <v>0</v>
      </c>
      <c r="G54" s="146" t="e">
        <f t="shared" si="1"/>
        <v>#DIV/0!</v>
      </c>
    </row>
    <row r="55" spans="1:7" s="83" customFormat="1" ht="38.25" customHeight="1">
      <c r="A55" s="77" t="s">
        <v>321</v>
      </c>
      <c r="B55" s="134"/>
      <c r="C55" s="20">
        <v>3.1</v>
      </c>
      <c r="D55" s="24"/>
      <c r="E55" s="24"/>
      <c r="F55" s="130">
        <f t="shared" si="0"/>
        <v>0</v>
      </c>
      <c r="G55" s="146" t="e">
        <f t="shared" si="1"/>
        <v>#DIV/0!</v>
      </c>
    </row>
    <row r="56" spans="1:7" s="83" customFormat="1" ht="27" customHeight="1">
      <c r="A56" s="77" t="s">
        <v>322</v>
      </c>
      <c r="B56" s="134"/>
      <c r="C56" s="20">
        <v>1.6</v>
      </c>
      <c r="D56" s="24"/>
      <c r="E56" s="24"/>
      <c r="F56" s="130">
        <f t="shared" si="0"/>
        <v>0</v>
      </c>
      <c r="G56" s="146" t="e">
        <f t="shared" si="1"/>
        <v>#DIV/0!</v>
      </c>
    </row>
    <row r="57" spans="1:7" s="83" customFormat="1" ht="29.25" customHeight="1">
      <c r="A57" s="77" t="s">
        <v>323</v>
      </c>
      <c r="B57" s="134"/>
      <c r="C57" s="20">
        <v>4.8</v>
      </c>
      <c r="D57" s="24"/>
      <c r="E57" s="24"/>
      <c r="F57" s="130">
        <f t="shared" si="0"/>
        <v>0</v>
      </c>
      <c r="G57" s="146" t="e">
        <f t="shared" si="1"/>
        <v>#DIV/0!</v>
      </c>
    </row>
    <row r="58" spans="1:7" s="83" customFormat="1" ht="25.5" customHeight="1">
      <c r="A58" s="77" t="s">
        <v>324</v>
      </c>
      <c r="B58" s="134"/>
      <c r="C58" s="20">
        <v>0.8</v>
      </c>
      <c r="D58" s="24"/>
      <c r="E58" s="24"/>
      <c r="F58" s="130">
        <f t="shared" si="0"/>
        <v>0</v>
      </c>
      <c r="G58" s="146" t="e">
        <f t="shared" si="1"/>
        <v>#DIV/0!</v>
      </c>
    </row>
    <row r="59" spans="1:7" s="83" customFormat="1" ht="24" customHeight="1">
      <c r="A59" s="77" t="s">
        <v>325</v>
      </c>
      <c r="B59" s="134"/>
      <c r="C59" s="20">
        <v>1.2</v>
      </c>
      <c r="D59" s="24"/>
      <c r="E59" s="24"/>
      <c r="F59" s="130">
        <f t="shared" si="0"/>
        <v>0</v>
      </c>
      <c r="G59" s="146" t="e">
        <f t="shared" si="1"/>
        <v>#DIV/0!</v>
      </c>
    </row>
    <row r="60" spans="1:7" s="83" customFormat="1" ht="38.25" customHeight="1">
      <c r="A60" s="77" t="s">
        <v>326</v>
      </c>
      <c r="B60" s="134"/>
      <c r="C60" s="20">
        <v>0.6</v>
      </c>
      <c r="D60" s="24"/>
      <c r="E60" s="24"/>
      <c r="F60" s="130">
        <f t="shared" si="0"/>
        <v>0</v>
      </c>
      <c r="G60" s="146" t="e">
        <f t="shared" si="1"/>
        <v>#DIV/0!</v>
      </c>
    </row>
    <row r="61" spans="1:7" s="83" customFormat="1" ht="29.25" customHeight="1">
      <c r="A61" s="77" t="s">
        <v>327</v>
      </c>
      <c r="B61" s="134"/>
      <c r="C61" s="20">
        <v>1.7</v>
      </c>
      <c r="D61" s="24"/>
      <c r="E61" s="24"/>
      <c r="F61" s="130">
        <f t="shared" si="0"/>
        <v>0</v>
      </c>
      <c r="G61" s="146" t="e">
        <f t="shared" si="1"/>
        <v>#DIV/0!</v>
      </c>
    </row>
    <row r="62" spans="1:7" s="83" customFormat="1" ht="19.5" customHeight="1">
      <c r="A62" s="77" t="s">
        <v>328</v>
      </c>
      <c r="B62" s="134"/>
      <c r="C62" s="20">
        <v>5.7</v>
      </c>
      <c r="D62" s="24"/>
      <c r="E62" s="24"/>
      <c r="F62" s="130">
        <f t="shared" si="0"/>
        <v>0</v>
      </c>
      <c r="G62" s="146" t="e">
        <f t="shared" si="1"/>
        <v>#DIV/0!</v>
      </c>
    </row>
    <row r="63" spans="1:7" s="83" customFormat="1" ht="28.5" customHeight="1">
      <c r="A63" s="77" t="s">
        <v>329</v>
      </c>
      <c r="B63" s="134"/>
      <c r="C63" s="20">
        <v>5.5</v>
      </c>
      <c r="D63" s="24"/>
      <c r="E63" s="24"/>
      <c r="F63" s="130">
        <f t="shared" si="0"/>
        <v>0</v>
      </c>
      <c r="G63" s="146" t="e">
        <f t="shared" si="1"/>
        <v>#DIV/0!</v>
      </c>
    </row>
    <row r="64" spans="1:7" s="83" customFormat="1" ht="29.25" customHeight="1">
      <c r="A64" s="77" t="s">
        <v>330</v>
      </c>
      <c r="B64" s="134"/>
      <c r="C64" s="20">
        <v>1</v>
      </c>
      <c r="D64" s="24"/>
      <c r="E64" s="24"/>
      <c r="F64" s="130">
        <f t="shared" si="0"/>
        <v>0</v>
      </c>
      <c r="G64" s="146" t="e">
        <f t="shared" si="1"/>
        <v>#DIV/0!</v>
      </c>
    </row>
    <row r="65" spans="1:7" s="83" customFormat="1" ht="33" customHeight="1">
      <c r="A65" s="77" t="s">
        <v>331</v>
      </c>
      <c r="B65" s="134"/>
      <c r="C65" s="20">
        <v>2.2999999999999998</v>
      </c>
      <c r="D65" s="24"/>
      <c r="E65" s="24"/>
      <c r="F65" s="130">
        <f t="shared" si="0"/>
        <v>0</v>
      </c>
      <c r="G65" s="146" t="e">
        <f t="shared" si="1"/>
        <v>#DIV/0!</v>
      </c>
    </row>
    <row r="66" spans="1:7" s="83" customFormat="1" ht="27" customHeight="1">
      <c r="A66" s="77" t="s">
        <v>332</v>
      </c>
      <c r="B66" s="134"/>
      <c r="C66" s="20">
        <v>0.7</v>
      </c>
      <c r="D66" s="24"/>
      <c r="E66" s="24"/>
      <c r="F66" s="130">
        <f t="shared" si="0"/>
        <v>0</v>
      </c>
      <c r="G66" s="146" t="e">
        <f t="shared" si="1"/>
        <v>#DIV/0!</v>
      </c>
    </row>
    <row r="67" spans="1:7" s="83" customFormat="1" ht="30.75" customHeight="1">
      <c r="A67" s="77" t="s">
        <v>333</v>
      </c>
      <c r="B67" s="134"/>
      <c r="C67" s="20">
        <v>0.4</v>
      </c>
      <c r="D67" s="24"/>
      <c r="E67" s="24"/>
      <c r="F67" s="130">
        <f t="shared" si="0"/>
        <v>0</v>
      </c>
      <c r="G67" s="146" t="e">
        <f t="shared" si="1"/>
        <v>#DIV/0!</v>
      </c>
    </row>
    <row r="68" spans="1:7" s="83" customFormat="1" ht="32.25" customHeight="1">
      <c r="A68" s="77" t="s">
        <v>334</v>
      </c>
      <c r="B68" s="134"/>
      <c r="C68" s="20">
        <v>1.5</v>
      </c>
      <c r="D68" s="24"/>
      <c r="E68" s="24"/>
      <c r="F68" s="130">
        <f t="shared" si="0"/>
        <v>0</v>
      </c>
      <c r="G68" s="146" t="e">
        <f t="shared" si="1"/>
        <v>#DIV/0!</v>
      </c>
    </row>
    <row r="69" spans="1:7" s="83" customFormat="1" ht="28.5" customHeight="1">
      <c r="A69" s="77" t="s">
        <v>335</v>
      </c>
      <c r="B69" s="134"/>
      <c r="C69" s="20">
        <v>4.5</v>
      </c>
      <c r="D69" s="24"/>
      <c r="E69" s="24"/>
      <c r="F69" s="130">
        <f t="shared" si="0"/>
        <v>0</v>
      </c>
      <c r="G69" s="146" t="e">
        <f t="shared" si="1"/>
        <v>#DIV/0!</v>
      </c>
    </row>
    <row r="70" spans="1:7" s="83" customFormat="1" ht="24.75" customHeight="1">
      <c r="A70" s="77" t="s">
        <v>336</v>
      </c>
      <c r="B70" s="134"/>
      <c r="C70" s="20">
        <v>10.7</v>
      </c>
      <c r="D70" s="24"/>
      <c r="E70" s="24"/>
      <c r="F70" s="130">
        <f t="shared" si="0"/>
        <v>0</v>
      </c>
      <c r="G70" s="146" t="e">
        <f t="shared" si="1"/>
        <v>#DIV/0!</v>
      </c>
    </row>
    <row r="71" spans="1:7" s="83" customFormat="1" ht="27" customHeight="1">
      <c r="A71" s="78" t="s">
        <v>337</v>
      </c>
      <c r="B71" s="134"/>
      <c r="C71" s="20">
        <v>11.6</v>
      </c>
      <c r="D71" s="24"/>
      <c r="E71" s="24"/>
      <c r="F71" s="130">
        <f t="shared" ref="F71:F134" si="2">E71-D71</f>
        <v>0</v>
      </c>
      <c r="G71" s="146" t="e">
        <f t="shared" ref="G71:G134" si="3">(E71/D71)*100</f>
        <v>#DIV/0!</v>
      </c>
    </row>
    <row r="72" spans="1:7" s="83" customFormat="1" ht="27" customHeight="1">
      <c r="A72" s="74" t="s">
        <v>338</v>
      </c>
      <c r="B72" s="134"/>
      <c r="C72" s="20">
        <v>8</v>
      </c>
      <c r="D72" s="24"/>
      <c r="E72" s="24"/>
      <c r="F72" s="130">
        <f t="shared" si="2"/>
        <v>0</v>
      </c>
      <c r="G72" s="146" t="e">
        <f t="shared" si="3"/>
        <v>#DIV/0!</v>
      </c>
    </row>
    <row r="73" spans="1:7" s="83" customFormat="1" ht="28.5" customHeight="1">
      <c r="A73" s="78" t="s">
        <v>339</v>
      </c>
      <c r="B73" s="134"/>
      <c r="C73" s="20">
        <v>4.5999999999999996</v>
      </c>
      <c r="D73" s="24"/>
      <c r="E73" s="24"/>
      <c r="F73" s="130">
        <f t="shared" si="2"/>
        <v>0</v>
      </c>
      <c r="G73" s="146" t="e">
        <f t="shared" si="3"/>
        <v>#DIV/0!</v>
      </c>
    </row>
    <row r="74" spans="1:7" s="83" customFormat="1" ht="24.75" customHeight="1">
      <c r="A74" s="78" t="s">
        <v>340</v>
      </c>
      <c r="B74" s="134"/>
      <c r="C74" s="20">
        <v>2.1</v>
      </c>
      <c r="D74" s="24"/>
      <c r="E74" s="24"/>
      <c r="F74" s="130">
        <f t="shared" si="2"/>
        <v>0</v>
      </c>
      <c r="G74" s="146" t="e">
        <f t="shared" si="3"/>
        <v>#DIV/0!</v>
      </c>
    </row>
    <row r="75" spans="1:7" s="83" customFormat="1" ht="38.25" customHeight="1">
      <c r="A75" s="77" t="s">
        <v>256</v>
      </c>
      <c r="B75" s="134"/>
      <c r="C75" s="24">
        <v>0.4</v>
      </c>
      <c r="D75" s="24"/>
      <c r="E75" s="24"/>
      <c r="F75" s="130">
        <f t="shared" si="2"/>
        <v>0</v>
      </c>
      <c r="G75" s="146" t="e">
        <f t="shared" si="3"/>
        <v>#DIV/0!</v>
      </c>
    </row>
    <row r="76" spans="1:7" s="83" customFormat="1" ht="38.25" customHeight="1">
      <c r="A76" s="77" t="s">
        <v>257</v>
      </c>
      <c r="B76" s="145"/>
      <c r="C76" s="20">
        <v>0.7</v>
      </c>
      <c r="D76" s="24"/>
      <c r="E76" s="24"/>
      <c r="F76" s="130">
        <f t="shared" si="2"/>
        <v>0</v>
      </c>
      <c r="G76" s="146" t="e">
        <f t="shared" si="3"/>
        <v>#DIV/0!</v>
      </c>
    </row>
    <row r="77" spans="1:7" s="83" customFormat="1" ht="32.25" customHeight="1">
      <c r="A77" s="77" t="s">
        <v>478</v>
      </c>
      <c r="B77" s="145"/>
      <c r="C77" s="20">
        <v>1.4</v>
      </c>
      <c r="D77" s="24"/>
      <c r="E77" s="24"/>
      <c r="F77" s="130">
        <f t="shared" si="2"/>
        <v>0</v>
      </c>
      <c r="G77" s="146" t="e">
        <f t="shared" si="3"/>
        <v>#DIV/0!</v>
      </c>
    </row>
    <row r="78" spans="1:7" s="83" customFormat="1" ht="28.5" customHeight="1">
      <c r="A78" s="77" t="s">
        <v>479</v>
      </c>
      <c r="B78" s="145"/>
      <c r="C78" s="20">
        <v>5.6</v>
      </c>
      <c r="D78" s="24"/>
      <c r="E78" s="24"/>
      <c r="F78" s="130">
        <f t="shared" si="2"/>
        <v>0</v>
      </c>
      <c r="G78" s="146" t="e">
        <f t="shared" si="3"/>
        <v>#DIV/0!</v>
      </c>
    </row>
    <row r="79" spans="1:7" s="83" customFormat="1" ht="30.75" customHeight="1">
      <c r="A79" s="77" t="s">
        <v>480</v>
      </c>
      <c r="B79" s="145"/>
      <c r="C79" s="20">
        <v>2.7</v>
      </c>
      <c r="D79" s="24"/>
      <c r="E79" s="24"/>
      <c r="F79" s="130">
        <f t="shared" si="2"/>
        <v>0</v>
      </c>
      <c r="G79" s="146" t="e">
        <f t="shared" si="3"/>
        <v>#DIV/0!</v>
      </c>
    </row>
    <row r="80" spans="1:7" s="83" customFormat="1" ht="27" customHeight="1">
      <c r="A80" s="77" t="s">
        <v>481</v>
      </c>
      <c r="B80" s="145"/>
      <c r="C80" s="20">
        <v>5</v>
      </c>
      <c r="D80" s="24"/>
      <c r="E80" s="24"/>
      <c r="F80" s="130">
        <f t="shared" si="2"/>
        <v>0</v>
      </c>
      <c r="G80" s="146" t="e">
        <f t="shared" si="3"/>
        <v>#DIV/0!</v>
      </c>
    </row>
    <row r="81" spans="1:7" s="83" customFormat="1" ht="29.25" customHeight="1">
      <c r="A81" s="77" t="s">
        <v>482</v>
      </c>
      <c r="B81" s="145"/>
      <c r="C81" s="20">
        <v>7.6</v>
      </c>
      <c r="D81" s="24"/>
      <c r="E81" s="24"/>
      <c r="F81" s="130">
        <f t="shared" si="2"/>
        <v>0</v>
      </c>
      <c r="G81" s="146" t="e">
        <f t="shared" si="3"/>
        <v>#DIV/0!</v>
      </c>
    </row>
    <row r="82" spans="1:7" s="83" customFormat="1" ht="38.25" customHeight="1">
      <c r="A82" s="77" t="s">
        <v>483</v>
      </c>
      <c r="B82" s="145"/>
      <c r="C82" s="20">
        <v>15.3</v>
      </c>
      <c r="D82" s="24"/>
      <c r="E82" s="24"/>
      <c r="F82" s="130">
        <f t="shared" si="2"/>
        <v>0</v>
      </c>
      <c r="G82" s="146" t="e">
        <f t="shared" si="3"/>
        <v>#DIV/0!</v>
      </c>
    </row>
    <row r="83" spans="1:7" ht="27" customHeight="1">
      <c r="A83" s="78" t="s">
        <v>222</v>
      </c>
      <c r="B83" s="73"/>
      <c r="C83" s="20"/>
      <c r="D83" s="20"/>
      <c r="E83" s="20">
        <v>22</v>
      </c>
      <c r="F83" s="20">
        <f t="shared" si="2"/>
        <v>22</v>
      </c>
      <c r="G83" s="147" t="e">
        <f t="shared" si="3"/>
        <v>#DIV/0!</v>
      </c>
    </row>
    <row r="84" spans="1:7" ht="27" customHeight="1">
      <c r="A84" s="133" t="s">
        <v>344</v>
      </c>
      <c r="B84" s="73"/>
      <c r="C84" s="20"/>
      <c r="D84" s="20"/>
      <c r="E84" s="20">
        <v>14.6</v>
      </c>
      <c r="F84" s="20">
        <f t="shared" si="2"/>
        <v>14.6</v>
      </c>
      <c r="G84" s="147" t="e">
        <f t="shared" si="3"/>
        <v>#DIV/0!</v>
      </c>
    </row>
    <row r="85" spans="1:7" ht="27" customHeight="1">
      <c r="A85" s="133" t="s">
        <v>484</v>
      </c>
      <c r="B85" s="73"/>
      <c r="C85" s="20"/>
      <c r="D85" s="20"/>
      <c r="E85" s="20"/>
      <c r="F85" s="20">
        <f t="shared" si="2"/>
        <v>0</v>
      </c>
      <c r="G85" s="147" t="e">
        <f t="shared" si="3"/>
        <v>#DIV/0!</v>
      </c>
    </row>
    <row r="86" spans="1:7" ht="27" customHeight="1">
      <c r="A86" s="133" t="s">
        <v>485</v>
      </c>
      <c r="B86" s="73"/>
      <c r="C86" s="20"/>
      <c r="D86" s="20"/>
      <c r="E86" s="20"/>
      <c r="F86" s="20">
        <f t="shared" si="2"/>
        <v>0</v>
      </c>
      <c r="G86" s="147" t="e">
        <f t="shared" si="3"/>
        <v>#DIV/0!</v>
      </c>
    </row>
    <row r="87" spans="1:7" ht="27" customHeight="1">
      <c r="A87" s="133" t="s">
        <v>486</v>
      </c>
      <c r="B87" s="73"/>
      <c r="C87" s="20"/>
      <c r="D87" s="20"/>
      <c r="E87" s="20"/>
      <c r="F87" s="20">
        <f t="shared" si="2"/>
        <v>0</v>
      </c>
      <c r="G87" s="147" t="e">
        <f t="shared" si="3"/>
        <v>#DIV/0!</v>
      </c>
    </row>
    <row r="88" spans="1:7" ht="27" customHeight="1">
      <c r="A88" s="133" t="s">
        <v>351</v>
      </c>
      <c r="B88" s="73"/>
      <c r="C88" s="20"/>
      <c r="D88" s="20"/>
      <c r="E88" s="20">
        <v>34</v>
      </c>
      <c r="F88" s="20">
        <f t="shared" si="2"/>
        <v>34</v>
      </c>
      <c r="G88" s="147" t="e">
        <f t="shared" si="3"/>
        <v>#DIV/0!</v>
      </c>
    </row>
    <row r="89" spans="1:7" ht="39.75" customHeight="1">
      <c r="A89" s="132" t="s">
        <v>349</v>
      </c>
      <c r="B89" s="73"/>
      <c r="C89" s="20"/>
      <c r="D89" s="20"/>
      <c r="E89" s="20">
        <v>2.8</v>
      </c>
      <c r="F89" s="20">
        <f t="shared" si="2"/>
        <v>2.8</v>
      </c>
      <c r="G89" s="147" t="e">
        <f t="shared" si="3"/>
        <v>#DIV/0!</v>
      </c>
    </row>
    <row r="90" spans="1:7" ht="39.75" customHeight="1">
      <c r="A90" s="132" t="s">
        <v>352</v>
      </c>
      <c r="B90" s="73"/>
      <c r="C90" s="20"/>
      <c r="D90" s="20"/>
      <c r="E90" s="20">
        <v>15.3</v>
      </c>
      <c r="F90" s="20">
        <f t="shared" si="2"/>
        <v>15.3</v>
      </c>
      <c r="G90" s="147" t="e">
        <f t="shared" si="3"/>
        <v>#DIV/0!</v>
      </c>
    </row>
    <row r="91" spans="1:7" ht="21" customHeight="1">
      <c r="A91" s="132" t="s">
        <v>357</v>
      </c>
      <c r="B91" s="73"/>
      <c r="C91" s="20"/>
      <c r="D91" s="20"/>
      <c r="E91" s="20">
        <v>2.7</v>
      </c>
      <c r="F91" s="20">
        <f t="shared" si="2"/>
        <v>2.7</v>
      </c>
      <c r="G91" s="147" t="e">
        <f t="shared" si="3"/>
        <v>#DIV/0!</v>
      </c>
    </row>
    <row r="92" spans="1:7" ht="39.75" customHeight="1">
      <c r="A92" s="132" t="s">
        <v>487</v>
      </c>
      <c r="B92" s="73"/>
      <c r="C92" s="20"/>
      <c r="D92" s="20"/>
      <c r="E92" s="20">
        <v>14.2</v>
      </c>
      <c r="F92" s="20">
        <f t="shared" si="2"/>
        <v>14.2</v>
      </c>
      <c r="G92" s="147" t="e">
        <f t="shared" si="3"/>
        <v>#DIV/0!</v>
      </c>
    </row>
    <row r="93" spans="1:7" ht="24.75" customHeight="1">
      <c r="A93" s="132" t="s">
        <v>488</v>
      </c>
      <c r="B93" s="73"/>
      <c r="C93" s="20"/>
      <c r="D93" s="20"/>
      <c r="E93" s="20">
        <v>19.600000000000001</v>
      </c>
      <c r="F93" s="20">
        <f t="shared" si="2"/>
        <v>19.600000000000001</v>
      </c>
      <c r="G93" s="147" t="e">
        <f t="shared" si="3"/>
        <v>#DIV/0!</v>
      </c>
    </row>
    <row r="94" spans="1:7" ht="26.25" customHeight="1">
      <c r="A94" s="132" t="s">
        <v>489</v>
      </c>
      <c r="B94" s="73"/>
      <c r="C94" s="20"/>
      <c r="D94" s="20"/>
      <c r="E94" s="20">
        <v>19.899999999999999</v>
      </c>
      <c r="F94" s="20">
        <f t="shared" si="2"/>
        <v>19.899999999999999</v>
      </c>
      <c r="G94" s="147" t="e">
        <f t="shared" si="3"/>
        <v>#DIV/0!</v>
      </c>
    </row>
    <row r="95" spans="1:7" ht="24.75" customHeight="1">
      <c r="A95" s="132" t="s">
        <v>490</v>
      </c>
      <c r="B95" s="73"/>
      <c r="C95" s="20"/>
      <c r="D95" s="20"/>
      <c r="E95" s="20">
        <v>0.3</v>
      </c>
      <c r="F95" s="20">
        <f t="shared" si="2"/>
        <v>0.3</v>
      </c>
      <c r="G95" s="147" t="e">
        <f t="shared" si="3"/>
        <v>#DIV/0!</v>
      </c>
    </row>
    <row r="96" spans="1:7" ht="24.75" customHeight="1">
      <c r="A96" s="132" t="s">
        <v>428</v>
      </c>
      <c r="B96" s="73"/>
      <c r="C96" s="20"/>
      <c r="D96" s="20"/>
      <c r="E96" s="20">
        <v>0.1</v>
      </c>
      <c r="F96" s="20">
        <f t="shared" si="2"/>
        <v>0.1</v>
      </c>
      <c r="G96" s="147" t="e">
        <f t="shared" si="3"/>
        <v>#DIV/0!</v>
      </c>
    </row>
    <row r="97" spans="1:7" ht="39.75" customHeight="1">
      <c r="A97" s="132" t="s">
        <v>429</v>
      </c>
      <c r="B97" s="73"/>
      <c r="C97" s="20"/>
      <c r="D97" s="20"/>
      <c r="E97" s="20">
        <v>2</v>
      </c>
      <c r="F97" s="20">
        <f t="shared" si="2"/>
        <v>2</v>
      </c>
      <c r="G97" s="147" t="e">
        <f t="shared" si="3"/>
        <v>#DIV/0!</v>
      </c>
    </row>
    <row r="98" spans="1:7" ht="39.75" customHeight="1">
      <c r="A98" s="132" t="s">
        <v>430</v>
      </c>
      <c r="B98" s="73"/>
      <c r="C98" s="20"/>
      <c r="D98" s="20"/>
      <c r="E98" s="20">
        <v>2</v>
      </c>
      <c r="F98" s="20">
        <f t="shared" si="2"/>
        <v>2</v>
      </c>
      <c r="G98" s="147" t="e">
        <f t="shared" si="3"/>
        <v>#DIV/0!</v>
      </c>
    </row>
    <row r="99" spans="1:7" ht="26.25" customHeight="1">
      <c r="A99" s="132" t="s">
        <v>431</v>
      </c>
      <c r="B99" s="73"/>
      <c r="C99" s="20"/>
      <c r="D99" s="20"/>
      <c r="E99" s="20">
        <v>0.5</v>
      </c>
      <c r="F99" s="20">
        <f t="shared" si="2"/>
        <v>0.5</v>
      </c>
      <c r="G99" s="147" t="e">
        <f t="shared" si="3"/>
        <v>#DIV/0!</v>
      </c>
    </row>
    <row r="100" spans="1:7" ht="27" customHeight="1">
      <c r="A100" s="132" t="s">
        <v>432</v>
      </c>
      <c r="B100" s="73"/>
      <c r="C100" s="20"/>
      <c r="D100" s="20"/>
      <c r="E100" s="20">
        <v>0.8</v>
      </c>
      <c r="F100" s="20">
        <f t="shared" si="2"/>
        <v>0.8</v>
      </c>
      <c r="G100" s="147" t="e">
        <f t="shared" si="3"/>
        <v>#DIV/0!</v>
      </c>
    </row>
    <row r="101" spans="1:7" ht="24.75" customHeight="1">
      <c r="A101" s="132" t="s">
        <v>433</v>
      </c>
      <c r="B101" s="73"/>
      <c r="C101" s="20"/>
      <c r="D101" s="20"/>
      <c r="E101" s="20">
        <v>1.9</v>
      </c>
      <c r="F101" s="20">
        <f t="shared" si="2"/>
        <v>1.9</v>
      </c>
      <c r="G101" s="147" t="e">
        <f t="shared" si="3"/>
        <v>#DIV/0!</v>
      </c>
    </row>
    <row r="102" spans="1:7" ht="24.75" customHeight="1">
      <c r="A102" s="132" t="s">
        <v>434</v>
      </c>
      <c r="B102" s="73"/>
      <c r="C102" s="20"/>
      <c r="D102" s="20"/>
      <c r="E102" s="20">
        <v>4.5</v>
      </c>
      <c r="F102" s="20">
        <f t="shared" si="2"/>
        <v>4.5</v>
      </c>
      <c r="G102" s="147" t="e">
        <f t="shared" si="3"/>
        <v>#DIV/0!</v>
      </c>
    </row>
    <row r="103" spans="1:7" ht="24.75" customHeight="1">
      <c r="A103" s="132" t="s">
        <v>435</v>
      </c>
      <c r="B103" s="73"/>
      <c r="C103" s="20"/>
      <c r="D103" s="20"/>
      <c r="E103" s="20">
        <v>2.5</v>
      </c>
      <c r="F103" s="20">
        <f t="shared" si="2"/>
        <v>2.5</v>
      </c>
      <c r="G103" s="147" t="e">
        <f t="shared" si="3"/>
        <v>#DIV/0!</v>
      </c>
    </row>
    <row r="104" spans="1:7" ht="23.25" customHeight="1">
      <c r="A104" s="132" t="s">
        <v>436</v>
      </c>
      <c r="B104" s="73"/>
      <c r="C104" s="20"/>
      <c r="D104" s="20"/>
      <c r="E104" s="20">
        <v>2.1</v>
      </c>
      <c r="F104" s="20">
        <f t="shared" si="2"/>
        <v>2.1</v>
      </c>
      <c r="G104" s="147" t="e">
        <f t="shared" si="3"/>
        <v>#DIV/0!</v>
      </c>
    </row>
    <row r="105" spans="1:7" ht="26.25" customHeight="1">
      <c r="A105" s="132" t="s">
        <v>437</v>
      </c>
      <c r="B105" s="73"/>
      <c r="C105" s="20"/>
      <c r="D105" s="20"/>
      <c r="E105" s="20">
        <v>12</v>
      </c>
      <c r="F105" s="20">
        <f t="shared" si="2"/>
        <v>12</v>
      </c>
      <c r="G105" s="147" t="e">
        <f t="shared" si="3"/>
        <v>#DIV/0!</v>
      </c>
    </row>
    <row r="106" spans="1:7" ht="26.25" customHeight="1">
      <c r="A106" s="132" t="s">
        <v>438</v>
      </c>
      <c r="B106" s="73"/>
      <c r="C106" s="20"/>
      <c r="D106" s="20"/>
      <c r="E106" s="20">
        <v>12.4</v>
      </c>
      <c r="F106" s="20">
        <f t="shared" si="2"/>
        <v>12.4</v>
      </c>
      <c r="G106" s="147" t="e">
        <f t="shared" si="3"/>
        <v>#DIV/0!</v>
      </c>
    </row>
    <row r="107" spans="1:7" ht="39.75" customHeight="1">
      <c r="A107" s="132" t="s">
        <v>439</v>
      </c>
      <c r="B107" s="73"/>
      <c r="C107" s="20"/>
      <c r="D107" s="20"/>
      <c r="E107" s="20">
        <v>14.3</v>
      </c>
      <c r="F107" s="20">
        <f t="shared" si="2"/>
        <v>14.3</v>
      </c>
      <c r="G107" s="147" t="e">
        <f t="shared" si="3"/>
        <v>#DIV/0!</v>
      </c>
    </row>
    <row r="108" spans="1:7" ht="39.75" customHeight="1">
      <c r="A108" s="132" t="s">
        <v>440</v>
      </c>
      <c r="B108" s="73"/>
      <c r="C108" s="20"/>
      <c r="D108" s="20"/>
      <c r="E108" s="20">
        <v>19.7</v>
      </c>
      <c r="F108" s="20">
        <f t="shared" si="2"/>
        <v>19.7</v>
      </c>
      <c r="G108" s="147" t="e">
        <f t="shared" si="3"/>
        <v>#DIV/0!</v>
      </c>
    </row>
    <row r="109" spans="1:7" ht="28.5" customHeight="1">
      <c r="A109" s="132" t="s">
        <v>441</v>
      </c>
      <c r="B109" s="73"/>
      <c r="C109" s="20"/>
      <c r="D109" s="20"/>
      <c r="E109" s="20">
        <v>2.7</v>
      </c>
      <c r="F109" s="20">
        <f t="shared" si="2"/>
        <v>2.7</v>
      </c>
      <c r="G109" s="147" t="e">
        <f t="shared" si="3"/>
        <v>#DIV/0!</v>
      </c>
    </row>
    <row r="110" spans="1:7" ht="26.25" customHeight="1">
      <c r="A110" s="132" t="s">
        <v>442</v>
      </c>
      <c r="B110" s="73"/>
      <c r="C110" s="20"/>
      <c r="D110" s="20"/>
      <c r="E110" s="20">
        <v>2.1</v>
      </c>
      <c r="F110" s="20">
        <f t="shared" si="2"/>
        <v>2.1</v>
      </c>
      <c r="G110" s="147" t="e">
        <f t="shared" si="3"/>
        <v>#DIV/0!</v>
      </c>
    </row>
    <row r="111" spans="1:7" ht="26.25" customHeight="1">
      <c r="A111" s="132" t="s">
        <v>443</v>
      </c>
      <c r="B111" s="73"/>
      <c r="C111" s="20"/>
      <c r="D111" s="20"/>
      <c r="E111" s="20">
        <v>6.4</v>
      </c>
      <c r="F111" s="20">
        <f t="shared" si="2"/>
        <v>6.4</v>
      </c>
      <c r="G111" s="147" t="e">
        <f t="shared" si="3"/>
        <v>#DIV/0!</v>
      </c>
    </row>
    <row r="112" spans="1:7" ht="23.25" customHeight="1">
      <c r="A112" s="132" t="s">
        <v>444</v>
      </c>
      <c r="B112" s="73"/>
      <c r="C112" s="20"/>
      <c r="D112" s="20"/>
      <c r="E112" s="20">
        <v>1.5</v>
      </c>
      <c r="F112" s="20">
        <f t="shared" si="2"/>
        <v>1.5</v>
      </c>
      <c r="G112" s="147" t="e">
        <f t="shared" si="3"/>
        <v>#DIV/0!</v>
      </c>
    </row>
    <row r="113" spans="1:7" ht="27" customHeight="1">
      <c r="A113" s="132" t="s">
        <v>445</v>
      </c>
      <c r="B113" s="73"/>
      <c r="C113" s="20"/>
      <c r="D113" s="20"/>
      <c r="E113" s="20">
        <v>8</v>
      </c>
      <c r="F113" s="20">
        <f t="shared" si="2"/>
        <v>8</v>
      </c>
      <c r="G113" s="147" t="e">
        <f t="shared" si="3"/>
        <v>#DIV/0!</v>
      </c>
    </row>
    <row r="114" spans="1:7" ht="23.25" customHeight="1">
      <c r="A114" s="132" t="s">
        <v>446</v>
      </c>
      <c r="B114" s="73"/>
      <c r="C114" s="20"/>
      <c r="D114" s="20"/>
      <c r="E114" s="20">
        <v>17.600000000000001</v>
      </c>
      <c r="F114" s="20">
        <f t="shared" si="2"/>
        <v>17.600000000000001</v>
      </c>
      <c r="G114" s="147" t="e">
        <f t="shared" si="3"/>
        <v>#DIV/0!</v>
      </c>
    </row>
    <row r="115" spans="1:7" ht="28.5" customHeight="1">
      <c r="A115" s="132" t="s">
        <v>447</v>
      </c>
      <c r="B115" s="73"/>
      <c r="C115" s="20"/>
      <c r="D115" s="20"/>
      <c r="E115" s="20">
        <v>98.7</v>
      </c>
      <c r="F115" s="20">
        <f t="shared" si="2"/>
        <v>98.7</v>
      </c>
      <c r="G115" s="147" t="e">
        <f t="shared" si="3"/>
        <v>#DIV/0!</v>
      </c>
    </row>
    <row r="116" spans="1:7" ht="26.25" customHeight="1">
      <c r="A116" s="132" t="s">
        <v>448</v>
      </c>
      <c r="B116" s="73"/>
      <c r="C116" s="20"/>
      <c r="D116" s="20"/>
      <c r="E116" s="20">
        <v>5</v>
      </c>
      <c r="F116" s="20">
        <f t="shared" si="2"/>
        <v>5</v>
      </c>
      <c r="G116" s="147" t="e">
        <f t="shared" si="3"/>
        <v>#DIV/0!</v>
      </c>
    </row>
    <row r="117" spans="1:7" ht="23.25" customHeight="1">
      <c r="A117" s="132" t="s">
        <v>449</v>
      </c>
      <c r="B117" s="73"/>
      <c r="C117" s="20"/>
      <c r="D117" s="20"/>
      <c r="E117" s="20">
        <v>5</v>
      </c>
      <c r="F117" s="20">
        <f t="shared" si="2"/>
        <v>5</v>
      </c>
      <c r="G117" s="147" t="e">
        <f t="shared" si="3"/>
        <v>#DIV/0!</v>
      </c>
    </row>
    <row r="118" spans="1:7" ht="24.75" customHeight="1">
      <c r="A118" s="132" t="s">
        <v>450</v>
      </c>
      <c r="B118" s="73"/>
      <c r="C118" s="20"/>
      <c r="D118" s="20"/>
      <c r="E118" s="20">
        <v>0.3</v>
      </c>
      <c r="F118" s="20">
        <f t="shared" si="2"/>
        <v>0.3</v>
      </c>
      <c r="G118" s="147" t="e">
        <f t="shared" si="3"/>
        <v>#DIV/0!</v>
      </c>
    </row>
    <row r="119" spans="1:7" ht="24" customHeight="1">
      <c r="A119" s="132" t="s">
        <v>451</v>
      </c>
      <c r="B119" s="73"/>
      <c r="C119" s="20"/>
      <c r="D119" s="20"/>
      <c r="E119" s="20">
        <v>2.8</v>
      </c>
      <c r="F119" s="20">
        <f t="shared" si="2"/>
        <v>2.8</v>
      </c>
      <c r="G119" s="147" t="e">
        <f t="shared" si="3"/>
        <v>#DIV/0!</v>
      </c>
    </row>
    <row r="120" spans="1:7" ht="27" customHeight="1">
      <c r="A120" s="132" t="s">
        <v>452</v>
      </c>
      <c r="B120" s="73"/>
      <c r="C120" s="20"/>
      <c r="D120" s="20"/>
      <c r="E120" s="20">
        <v>3</v>
      </c>
      <c r="F120" s="20">
        <f t="shared" si="2"/>
        <v>3</v>
      </c>
      <c r="G120" s="147" t="e">
        <f t="shared" si="3"/>
        <v>#DIV/0!</v>
      </c>
    </row>
    <row r="121" spans="1:7" ht="24.75" customHeight="1">
      <c r="A121" s="132" t="s">
        <v>453</v>
      </c>
      <c r="B121" s="73"/>
      <c r="C121" s="20"/>
      <c r="D121" s="20"/>
      <c r="E121" s="20">
        <v>0.5</v>
      </c>
      <c r="F121" s="20">
        <f t="shared" si="2"/>
        <v>0.5</v>
      </c>
      <c r="G121" s="147" t="e">
        <f t="shared" si="3"/>
        <v>#DIV/0!</v>
      </c>
    </row>
    <row r="122" spans="1:7" ht="27.75" customHeight="1">
      <c r="A122" s="132" t="s">
        <v>454</v>
      </c>
      <c r="B122" s="73"/>
      <c r="C122" s="20"/>
      <c r="D122" s="20"/>
      <c r="E122" s="20">
        <v>45</v>
      </c>
      <c r="F122" s="20">
        <f t="shared" si="2"/>
        <v>45</v>
      </c>
      <c r="G122" s="147" t="e">
        <f t="shared" si="3"/>
        <v>#DIV/0!</v>
      </c>
    </row>
    <row r="123" spans="1:7" ht="26.25" customHeight="1">
      <c r="A123" s="132" t="s">
        <v>455</v>
      </c>
      <c r="B123" s="73"/>
      <c r="C123" s="20"/>
      <c r="D123" s="20"/>
      <c r="E123" s="20">
        <v>108</v>
      </c>
      <c r="F123" s="20">
        <f t="shared" si="2"/>
        <v>108</v>
      </c>
      <c r="G123" s="147" t="e">
        <f t="shared" si="3"/>
        <v>#DIV/0!</v>
      </c>
    </row>
    <row r="124" spans="1:7" ht="39.75" customHeight="1">
      <c r="A124" s="132" t="s">
        <v>456</v>
      </c>
      <c r="B124" s="73"/>
      <c r="C124" s="20"/>
      <c r="D124" s="20"/>
      <c r="E124" s="20">
        <v>39</v>
      </c>
      <c r="F124" s="20">
        <f t="shared" si="2"/>
        <v>39</v>
      </c>
      <c r="G124" s="147" t="e">
        <f t="shared" si="3"/>
        <v>#DIV/0!</v>
      </c>
    </row>
    <row r="125" spans="1:7" ht="26.25" customHeight="1">
      <c r="A125" s="132" t="s">
        <v>457</v>
      </c>
      <c r="B125" s="73"/>
      <c r="C125" s="20"/>
      <c r="D125" s="20"/>
      <c r="E125" s="20">
        <v>3</v>
      </c>
      <c r="F125" s="20">
        <f t="shared" si="2"/>
        <v>3</v>
      </c>
      <c r="G125" s="147" t="e">
        <f t="shared" si="3"/>
        <v>#DIV/0!</v>
      </c>
    </row>
    <row r="126" spans="1:7" ht="24.75" customHeight="1">
      <c r="A126" s="132" t="s">
        <v>458</v>
      </c>
      <c r="B126" s="73"/>
      <c r="C126" s="20"/>
      <c r="D126" s="20"/>
      <c r="E126" s="20">
        <v>4</v>
      </c>
      <c r="F126" s="20">
        <f t="shared" si="2"/>
        <v>4</v>
      </c>
      <c r="G126" s="147" t="e">
        <f t="shared" si="3"/>
        <v>#DIV/0!</v>
      </c>
    </row>
    <row r="127" spans="1:7" ht="27" customHeight="1">
      <c r="A127" s="132" t="s">
        <v>459</v>
      </c>
      <c r="B127" s="73"/>
      <c r="C127" s="20"/>
      <c r="D127" s="20"/>
      <c r="E127" s="20">
        <v>0.8</v>
      </c>
      <c r="F127" s="20">
        <f t="shared" si="2"/>
        <v>0.8</v>
      </c>
      <c r="G127" s="147" t="e">
        <f t="shared" si="3"/>
        <v>#DIV/0!</v>
      </c>
    </row>
    <row r="128" spans="1:7" ht="26.25" customHeight="1">
      <c r="A128" s="132" t="s">
        <v>460</v>
      </c>
      <c r="B128" s="73"/>
      <c r="C128" s="20"/>
      <c r="D128" s="20"/>
      <c r="E128" s="20">
        <v>38.200000000000003</v>
      </c>
      <c r="F128" s="20">
        <f t="shared" si="2"/>
        <v>38.200000000000003</v>
      </c>
      <c r="G128" s="147" t="e">
        <f t="shared" si="3"/>
        <v>#DIV/0!</v>
      </c>
    </row>
    <row r="129" spans="1:15" ht="23.25" customHeight="1">
      <c r="A129" s="132" t="s">
        <v>461</v>
      </c>
      <c r="B129" s="73"/>
      <c r="C129" s="20"/>
      <c r="D129" s="20"/>
      <c r="E129" s="20">
        <v>5.9</v>
      </c>
      <c r="F129" s="20">
        <f t="shared" si="2"/>
        <v>5.9</v>
      </c>
      <c r="G129" s="147" t="e">
        <f t="shared" si="3"/>
        <v>#DIV/0!</v>
      </c>
    </row>
    <row r="130" spans="1:15" ht="22.5" customHeight="1">
      <c r="A130" s="132" t="s">
        <v>462</v>
      </c>
      <c r="B130" s="73"/>
      <c r="C130" s="20"/>
      <c r="D130" s="20"/>
      <c r="E130" s="20">
        <v>22.3</v>
      </c>
      <c r="F130" s="20">
        <f t="shared" si="2"/>
        <v>22.3</v>
      </c>
      <c r="G130" s="147" t="e">
        <f t="shared" si="3"/>
        <v>#DIV/0!</v>
      </c>
    </row>
    <row r="131" spans="1:15" ht="24.75" customHeight="1">
      <c r="A131" s="132" t="s">
        <v>438</v>
      </c>
      <c r="B131" s="73"/>
      <c r="C131" s="20"/>
      <c r="D131" s="20"/>
      <c r="E131" s="20">
        <v>11.8</v>
      </c>
      <c r="F131" s="20">
        <f t="shared" si="2"/>
        <v>11.8</v>
      </c>
      <c r="G131" s="147" t="e">
        <f t="shared" si="3"/>
        <v>#DIV/0!</v>
      </c>
    </row>
    <row r="132" spans="1:15" ht="24.75" customHeight="1">
      <c r="A132" s="132" t="s">
        <v>467</v>
      </c>
      <c r="B132" s="73"/>
      <c r="C132" s="20"/>
      <c r="D132" s="20"/>
      <c r="E132" s="20">
        <v>7.4</v>
      </c>
      <c r="F132" s="20">
        <f t="shared" si="2"/>
        <v>7.4</v>
      </c>
      <c r="G132" s="147" t="e">
        <f t="shared" si="3"/>
        <v>#DIV/0!</v>
      </c>
    </row>
    <row r="133" spans="1:15" ht="23.25" customHeight="1">
      <c r="A133" s="132" t="s">
        <v>494</v>
      </c>
      <c r="B133" s="73"/>
      <c r="C133" s="20"/>
      <c r="D133" s="20"/>
      <c r="E133" s="20">
        <v>4</v>
      </c>
      <c r="F133" s="20">
        <f t="shared" si="2"/>
        <v>4</v>
      </c>
      <c r="G133" s="147" t="e">
        <f t="shared" si="3"/>
        <v>#DIV/0!</v>
      </c>
    </row>
    <row r="134" spans="1:15" ht="24.75" customHeight="1">
      <c r="A134" s="132" t="s">
        <v>493</v>
      </c>
      <c r="B134" s="73"/>
      <c r="C134" s="20"/>
      <c r="D134" s="20"/>
      <c r="E134" s="20">
        <v>6</v>
      </c>
      <c r="F134" s="20">
        <f t="shared" si="2"/>
        <v>6</v>
      </c>
      <c r="G134" s="147" t="e">
        <f t="shared" si="3"/>
        <v>#DIV/0!</v>
      </c>
    </row>
    <row r="135" spans="1:15" ht="27.75" customHeight="1">
      <c r="A135" s="132" t="s">
        <v>470</v>
      </c>
      <c r="B135" s="73"/>
      <c r="C135" s="20"/>
      <c r="D135" s="20"/>
      <c r="E135" s="20">
        <v>1.2</v>
      </c>
      <c r="F135" s="20">
        <f t="shared" ref="F135:F139" si="4">E135-D135</f>
        <v>1.2</v>
      </c>
      <c r="G135" s="147" t="e">
        <f t="shared" ref="G135:G139" si="5">(E135/D135)*100</f>
        <v>#DIV/0!</v>
      </c>
    </row>
    <row r="136" spans="1:15" ht="27" customHeight="1">
      <c r="A136" s="132" t="s">
        <v>492</v>
      </c>
      <c r="B136" s="73"/>
      <c r="C136" s="20"/>
      <c r="D136" s="20"/>
      <c r="E136" s="20">
        <v>3.2</v>
      </c>
      <c r="F136" s="20">
        <f t="shared" si="4"/>
        <v>3.2</v>
      </c>
      <c r="G136" s="147" t="e">
        <f t="shared" si="5"/>
        <v>#DIV/0!</v>
      </c>
      <c r="O136" s="22" t="s">
        <v>544</v>
      </c>
    </row>
    <row r="137" spans="1:15" ht="26.25" customHeight="1">
      <c r="A137" s="132" t="s">
        <v>491</v>
      </c>
      <c r="B137" s="73"/>
      <c r="C137" s="20"/>
      <c r="D137" s="20"/>
      <c r="E137" s="20">
        <v>2.8</v>
      </c>
      <c r="F137" s="20">
        <f t="shared" si="4"/>
        <v>2.8</v>
      </c>
      <c r="G137" s="147" t="e">
        <f t="shared" si="5"/>
        <v>#DIV/0!</v>
      </c>
    </row>
    <row r="138" spans="1:15" ht="27.75" customHeight="1">
      <c r="A138" s="136" t="s">
        <v>39</v>
      </c>
      <c r="B138" s="87">
        <v>4060</v>
      </c>
      <c r="C138" s="130"/>
      <c r="D138" s="130"/>
      <c r="E138" s="130">
        <f>E139</f>
        <v>464.9</v>
      </c>
      <c r="F138" s="130">
        <f t="shared" si="4"/>
        <v>464.9</v>
      </c>
      <c r="G138" s="146" t="e">
        <f t="shared" si="5"/>
        <v>#DIV/0!</v>
      </c>
    </row>
    <row r="139" spans="1:15" ht="79.5" customHeight="1">
      <c r="A139" s="77" t="s">
        <v>224</v>
      </c>
      <c r="B139" s="73"/>
      <c r="C139" s="20"/>
      <c r="D139" s="20"/>
      <c r="E139" s="20">
        <f>304.9+160</f>
        <v>464.9</v>
      </c>
      <c r="F139" s="20">
        <f t="shared" si="4"/>
        <v>464.9</v>
      </c>
      <c r="G139" s="147" t="e">
        <f t="shared" si="5"/>
        <v>#DIV/0!</v>
      </c>
    </row>
    <row r="140" spans="1:15" ht="27" customHeight="1">
      <c r="A140" s="126"/>
      <c r="B140" s="90"/>
      <c r="C140" s="23"/>
      <c r="D140" s="23"/>
      <c r="E140" s="23"/>
      <c r="F140" s="23"/>
      <c r="G140" s="25"/>
    </row>
    <row r="141" spans="1:15" ht="26.25" customHeight="1">
      <c r="A141" s="144" t="s">
        <v>543</v>
      </c>
      <c r="B141" s="21"/>
      <c r="C141" s="322"/>
      <c r="D141" s="322"/>
      <c r="E141" s="325" t="s">
        <v>204</v>
      </c>
      <c r="F141" s="325"/>
      <c r="G141" s="325"/>
      <c r="H141" s="80"/>
    </row>
    <row r="142" spans="1:15">
      <c r="A142" s="124" t="s">
        <v>59</v>
      </c>
      <c r="B142" s="22"/>
      <c r="C142" s="323" t="s">
        <v>65</v>
      </c>
      <c r="D142" s="323"/>
      <c r="E142" s="126"/>
      <c r="F142" s="22" t="s">
        <v>17</v>
      </c>
    </row>
    <row r="143" spans="1:15">
      <c r="A143" s="81"/>
      <c r="C143" s="125"/>
      <c r="D143" s="82"/>
      <c r="E143" s="82"/>
      <c r="F143" s="82"/>
    </row>
    <row r="144" spans="1:15">
      <c r="A144" s="81"/>
      <c r="C144" s="125"/>
      <c r="D144" s="82"/>
      <c r="E144" s="82"/>
      <c r="F144" s="82"/>
    </row>
    <row r="145" spans="1:6">
      <c r="A145" s="81"/>
      <c r="C145" s="125"/>
      <c r="D145" s="82"/>
      <c r="E145" s="82"/>
      <c r="F145" s="82"/>
    </row>
    <row r="146" spans="1:6">
      <c r="A146" s="81"/>
      <c r="C146" s="125"/>
      <c r="D146" s="82"/>
      <c r="E146" s="82"/>
      <c r="F146" s="82"/>
    </row>
    <row r="147" spans="1:6">
      <c r="A147" s="81"/>
      <c r="C147" s="125"/>
      <c r="D147" s="82"/>
      <c r="E147" s="82"/>
      <c r="F147" s="82"/>
    </row>
    <row r="148" spans="1:6">
      <c r="A148" s="81"/>
      <c r="C148" s="125"/>
      <c r="D148" s="82"/>
      <c r="E148" s="82"/>
      <c r="F148" s="82"/>
    </row>
    <row r="149" spans="1:6">
      <c r="A149" s="81"/>
      <c r="C149" s="125"/>
      <c r="D149" s="82"/>
      <c r="E149" s="82"/>
      <c r="F149" s="82"/>
    </row>
    <row r="150" spans="1:6">
      <c r="A150" s="81"/>
      <c r="C150" s="125"/>
      <c r="D150" s="82"/>
      <c r="E150" s="82"/>
      <c r="F150" s="82"/>
    </row>
    <row r="151" spans="1:6">
      <c r="A151" s="81"/>
      <c r="C151" s="125"/>
      <c r="D151" s="82"/>
      <c r="E151" s="82"/>
      <c r="F151" s="82"/>
    </row>
    <row r="152" spans="1:6">
      <c r="A152" s="81"/>
      <c r="C152" s="125"/>
      <c r="D152" s="82"/>
      <c r="E152" s="82"/>
      <c r="F152" s="82"/>
    </row>
    <row r="153" spans="1:6">
      <c r="A153" s="81"/>
      <c r="C153" s="125"/>
      <c r="D153" s="82"/>
      <c r="E153" s="82"/>
      <c r="F153" s="82"/>
    </row>
    <row r="154" spans="1:6">
      <c r="A154" s="81"/>
      <c r="C154" s="125"/>
      <c r="D154" s="82"/>
      <c r="E154" s="82"/>
      <c r="F154" s="82"/>
    </row>
    <row r="155" spans="1:6">
      <c r="A155" s="81"/>
      <c r="C155" s="125"/>
      <c r="D155" s="82"/>
      <c r="E155" s="82"/>
      <c r="F155" s="82"/>
    </row>
    <row r="156" spans="1:6">
      <c r="A156" s="81"/>
      <c r="C156" s="125"/>
      <c r="D156" s="82"/>
      <c r="E156" s="82"/>
      <c r="F156" s="82"/>
    </row>
    <row r="157" spans="1:6">
      <c r="A157" s="81"/>
      <c r="C157" s="125"/>
      <c r="D157" s="82"/>
      <c r="E157" s="82"/>
      <c r="F157" s="82"/>
    </row>
    <row r="158" spans="1:6">
      <c r="A158" s="81"/>
      <c r="C158" s="125"/>
      <c r="D158" s="82"/>
      <c r="E158" s="82"/>
      <c r="F158" s="82"/>
    </row>
    <row r="159" spans="1:6">
      <c r="A159" s="81"/>
      <c r="C159" s="125"/>
      <c r="D159" s="82"/>
      <c r="E159" s="82"/>
      <c r="F159" s="82"/>
    </row>
    <row r="160" spans="1:6">
      <c r="A160" s="81"/>
      <c r="C160" s="125"/>
      <c r="D160" s="82"/>
      <c r="E160" s="82"/>
      <c r="F160" s="82"/>
    </row>
    <row r="161" spans="1:6">
      <c r="A161" s="81"/>
      <c r="C161" s="125"/>
      <c r="D161" s="82"/>
      <c r="E161" s="82"/>
      <c r="F161" s="82"/>
    </row>
    <row r="162" spans="1:6">
      <c r="A162" s="81"/>
      <c r="C162" s="125"/>
      <c r="D162" s="82"/>
      <c r="E162" s="82"/>
      <c r="F162" s="82"/>
    </row>
    <row r="163" spans="1:6">
      <c r="A163" s="81"/>
      <c r="C163" s="125"/>
      <c r="D163" s="82"/>
      <c r="E163" s="82"/>
      <c r="F163" s="82"/>
    </row>
    <row r="164" spans="1:6">
      <c r="A164" s="81"/>
      <c r="C164" s="125"/>
      <c r="D164" s="82"/>
      <c r="E164" s="82"/>
      <c r="F164" s="82"/>
    </row>
    <row r="165" spans="1:6">
      <c r="A165" s="81"/>
      <c r="C165" s="125"/>
      <c r="D165" s="82"/>
      <c r="E165" s="82"/>
      <c r="F165" s="82"/>
    </row>
    <row r="166" spans="1:6">
      <c r="A166" s="81"/>
      <c r="C166" s="125"/>
      <c r="D166" s="82"/>
      <c r="E166" s="82"/>
      <c r="F166" s="82"/>
    </row>
    <row r="167" spans="1:6">
      <c r="A167" s="81"/>
      <c r="C167" s="125"/>
      <c r="D167" s="82"/>
      <c r="E167" s="82"/>
      <c r="F167" s="82"/>
    </row>
    <row r="168" spans="1:6">
      <c r="A168" s="81"/>
      <c r="C168" s="125"/>
      <c r="D168" s="82"/>
      <c r="E168" s="82"/>
      <c r="F168" s="82"/>
    </row>
    <row r="169" spans="1:6">
      <c r="A169" s="81"/>
      <c r="C169" s="125"/>
      <c r="D169" s="82"/>
      <c r="E169" s="82"/>
      <c r="F169" s="82"/>
    </row>
    <row r="170" spans="1:6">
      <c r="A170" s="81"/>
      <c r="C170" s="125"/>
      <c r="D170" s="82"/>
      <c r="E170" s="82"/>
      <c r="F170" s="82"/>
    </row>
    <row r="171" spans="1:6">
      <c r="A171" s="81"/>
      <c r="C171" s="125"/>
      <c r="D171" s="82"/>
      <c r="E171" s="82"/>
      <c r="F171" s="82"/>
    </row>
    <row r="172" spans="1:6">
      <c r="A172" s="81"/>
      <c r="C172" s="125"/>
      <c r="D172" s="82"/>
      <c r="E172" s="82"/>
      <c r="F172" s="82"/>
    </row>
    <row r="173" spans="1:6">
      <c r="A173" s="81"/>
      <c r="C173" s="125"/>
      <c r="D173" s="82"/>
      <c r="E173" s="82"/>
      <c r="F173" s="82"/>
    </row>
    <row r="174" spans="1:6">
      <c r="A174" s="81"/>
      <c r="C174" s="125"/>
      <c r="D174" s="82"/>
      <c r="E174" s="82"/>
      <c r="F174" s="82"/>
    </row>
    <row r="175" spans="1:6">
      <c r="A175" s="81"/>
      <c r="C175" s="125"/>
      <c r="D175" s="82"/>
      <c r="E175" s="82"/>
      <c r="F175" s="82"/>
    </row>
    <row r="176" spans="1:6">
      <c r="A176" s="81"/>
      <c r="C176" s="125"/>
      <c r="D176" s="82"/>
      <c r="E176" s="82"/>
      <c r="F176" s="82"/>
    </row>
    <row r="177" spans="1:6">
      <c r="A177" s="81"/>
      <c r="C177" s="125"/>
      <c r="D177" s="82"/>
      <c r="E177" s="82"/>
      <c r="F177" s="82"/>
    </row>
    <row r="178" spans="1:6">
      <c r="A178" s="81"/>
      <c r="C178" s="125"/>
      <c r="D178" s="82"/>
      <c r="E178" s="82"/>
      <c r="F178" s="82"/>
    </row>
    <row r="179" spans="1:6">
      <c r="A179" s="81"/>
      <c r="C179" s="125"/>
      <c r="D179" s="82"/>
      <c r="E179" s="82"/>
      <c r="F179" s="82"/>
    </row>
    <row r="180" spans="1:6">
      <c r="A180" s="81"/>
      <c r="C180" s="125"/>
      <c r="D180" s="82"/>
      <c r="E180" s="82"/>
      <c r="F180" s="82"/>
    </row>
    <row r="181" spans="1:6">
      <c r="A181" s="81"/>
      <c r="C181" s="125"/>
      <c r="D181" s="82"/>
      <c r="E181" s="82"/>
      <c r="F181" s="82"/>
    </row>
    <row r="182" spans="1:6">
      <c r="A182" s="81"/>
      <c r="C182" s="125"/>
      <c r="D182" s="82"/>
      <c r="E182" s="82"/>
      <c r="F182" s="82"/>
    </row>
    <row r="183" spans="1:6">
      <c r="A183" s="81"/>
      <c r="C183" s="125"/>
      <c r="D183" s="82"/>
      <c r="E183" s="82"/>
      <c r="F183" s="82"/>
    </row>
    <row r="184" spans="1:6">
      <c r="A184" s="81"/>
      <c r="C184" s="125"/>
      <c r="D184" s="82"/>
      <c r="E184" s="82"/>
      <c r="F184" s="82"/>
    </row>
    <row r="185" spans="1:6">
      <c r="A185" s="81"/>
      <c r="C185" s="125"/>
      <c r="D185" s="82"/>
      <c r="E185" s="82"/>
      <c r="F185" s="82"/>
    </row>
    <row r="186" spans="1:6">
      <c r="A186" s="81"/>
      <c r="C186" s="125"/>
      <c r="D186" s="82"/>
      <c r="E186" s="82"/>
      <c r="F186" s="82"/>
    </row>
    <row r="187" spans="1:6">
      <c r="A187" s="81"/>
      <c r="C187" s="125"/>
      <c r="D187" s="82"/>
      <c r="E187" s="82"/>
      <c r="F187" s="82"/>
    </row>
    <row r="188" spans="1:6">
      <c r="A188" s="81"/>
      <c r="C188" s="125"/>
      <c r="D188" s="82"/>
      <c r="E188" s="82"/>
      <c r="F188" s="82"/>
    </row>
    <row r="189" spans="1:6">
      <c r="A189" s="81"/>
      <c r="C189" s="125"/>
      <c r="D189" s="82"/>
      <c r="E189" s="82"/>
      <c r="F189" s="82"/>
    </row>
    <row r="190" spans="1:6">
      <c r="A190" s="81"/>
      <c r="C190" s="125"/>
      <c r="D190" s="82"/>
      <c r="E190" s="82"/>
      <c r="F190" s="82"/>
    </row>
    <row r="191" spans="1:6">
      <c r="A191" s="81"/>
      <c r="C191" s="125"/>
      <c r="D191" s="82"/>
      <c r="E191" s="82"/>
      <c r="F191" s="82"/>
    </row>
    <row r="192" spans="1:6">
      <c r="A192" s="81"/>
      <c r="C192" s="125"/>
      <c r="D192" s="82"/>
      <c r="E192" s="82"/>
      <c r="F192" s="82"/>
    </row>
    <row r="193" spans="1:6">
      <c r="A193" s="81"/>
      <c r="C193" s="125"/>
      <c r="D193" s="82"/>
      <c r="E193" s="82"/>
      <c r="F193" s="82"/>
    </row>
    <row r="194" spans="1:6">
      <c r="A194" s="81"/>
      <c r="C194" s="125"/>
      <c r="D194" s="82"/>
      <c r="E194" s="82"/>
      <c r="F194" s="82"/>
    </row>
    <row r="195" spans="1:6">
      <c r="A195" s="81"/>
      <c r="C195" s="125"/>
      <c r="D195" s="82"/>
      <c r="E195" s="82"/>
      <c r="F195" s="82"/>
    </row>
    <row r="196" spans="1:6">
      <c r="A196" s="81"/>
      <c r="C196" s="125"/>
      <c r="D196" s="82"/>
      <c r="E196" s="82"/>
      <c r="F196" s="82"/>
    </row>
    <row r="197" spans="1:6">
      <c r="A197" s="81"/>
    </row>
    <row r="198" spans="1:6">
      <c r="A198" s="96"/>
    </row>
    <row r="199" spans="1:6">
      <c r="A199" s="96"/>
    </row>
    <row r="200" spans="1:6">
      <c r="A200" s="96"/>
    </row>
    <row r="201" spans="1:6">
      <c r="A201" s="96"/>
    </row>
    <row r="202" spans="1:6">
      <c r="A202" s="96"/>
    </row>
    <row r="203" spans="1:6">
      <c r="A203" s="96"/>
    </row>
    <row r="204" spans="1:6">
      <c r="A204" s="96"/>
    </row>
    <row r="205" spans="1:6">
      <c r="A205" s="96"/>
    </row>
    <row r="206" spans="1:6">
      <c r="A206" s="96"/>
    </row>
    <row r="207" spans="1:6">
      <c r="A207" s="96"/>
    </row>
    <row r="208" spans="1:6">
      <c r="A208" s="96"/>
    </row>
    <row r="209" spans="1:1">
      <c r="A209" s="96"/>
    </row>
    <row r="210" spans="1:1">
      <c r="A210" s="96"/>
    </row>
    <row r="211" spans="1:1">
      <c r="A211" s="96"/>
    </row>
    <row r="212" spans="1:1">
      <c r="A212" s="96"/>
    </row>
    <row r="213" spans="1:1">
      <c r="A213" s="96"/>
    </row>
    <row r="214" spans="1:1">
      <c r="A214" s="96"/>
    </row>
    <row r="215" spans="1:1">
      <c r="A215" s="96"/>
    </row>
    <row r="216" spans="1:1">
      <c r="A216" s="96"/>
    </row>
    <row r="217" spans="1:1">
      <c r="A217" s="96"/>
    </row>
    <row r="218" spans="1:1">
      <c r="A218" s="96"/>
    </row>
    <row r="219" spans="1:1">
      <c r="A219" s="96"/>
    </row>
    <row r="220" spans="1:1">
      <c r="A220" s="96"/>
    </row>
    <row r="221" spans="1:1">
      <c r="A221" s="96"/>
    </row>
    <row r="222" spans="1:1">
      <c r="A222" s="96"/>
    </row>
    <row r="223" spans="1:1">
      <c r="A223" s="96"/>
    </row>
    <row r="224" spans="1:1">
      <c r="A224" s="96"/>
    </row>
    <row r="225" spans="1:1">
      <c r="A225" s="96"/>
    </row>
    <row r="226" spans="1:1">
      <c r="A226" s="96"/>
    </row>
    <row r="227" spans="1:1">
      <c r="A227" s="96"/>
    </row>
    <row r="228" spans="1:1">
      <c r="A228" s="96"/>
    </row>
    <row r="229" spans="1:1">
      <c r="A229" s="96"/>
    </row>
    <row r="230" spans="1:1">
      <c r="A230" s="96"/>
    </row>
    <row r="231" spans="1:1">
      <c r="A231" s="96"/>
    </row>
    <row r="232" spans="1:1">
      <c r="A232" s="96"/>
    </row>
    <row r="233" spans="1:1">
      <c r="A233" s="96"/>
    </row>
    <row r="234" spans="1:1">
      <c r="A234" s="96"/>
    </row>
    <row r="235" spans="1:1">
      <c r="A235" s="96"/>
    </row>
    <row r="236" spans="1:1">
      <c r="A236" s="96"/>
    </row>
    <row r="237" spans="1:1">
      <c r="A237" s="96"/>
    </row>
    <row r="238" spans="1:1">
      <c r="A238" s="96"/>
    </row>
    <row r="239" spans="1:1">
      <c r="A239" s="96"/>
    </row>
    <row r="240" spans="1:1">
      <c r="A240" s="96"/>
    </row>
    <row r="241" spans="1:1">
      <c r="A241" s="96"/>
    </row>
    <row r="242" spans="1:1">
      <c r="A242" s="96"/>
    </row>
    <row r="243" spans="1:1">
      <c r="A243" s="96"/>
    </row>
    <row r="244" spans="1:1">
      <c r="A244" s="96"/>
    </row>
    <row r="245" spans="1:1">
      <c r="A245" s="96"/>
    </row>
    <row r="246" spans="1:1">
      <c r="A246" s="96"/>
    </row>
    <row r="247" spans="1:1">
      <c r="A247" s="96"/>
    </row>
    <row r="248" spans="1:1">
      <c r="A248" s="96"/>
    </row>
    <row r="249" spans="1:1">
      <c r="A249" s="96"/>
    </row>
    <row r="250" spans="1:1">
      <c r="A250" s="96"/>
    </row>
    <row r="251" spans="1:1">
      <c r="A251" s="96"/>
    </row>
    <row r="252" spans="1:1">
      <c r="A252" s="96"/>
    </row>
    <row r="253" spans="1:1">
      <c r="A253" s="96"/>
    </row>
    <row r="254" spans="1:1">
      <c r="A254" s="96"/>
    </row>
    <row r="255" spans="1:1">
      <c r="A255" s="96"/>
    </row>
    <row r="256" spans="1:1">
      <c r="A256" s="96"/>
    </row>
    <row r="257" spans="1:1">
      <c r="A257" s="96"/>
    </row>
    <row r="258" spans="1:1">
      <c r="A258" s="96"/>
    </row>
    <row r="259" spans="1:1">
      <c r="A259" s="96"/>
    </row>
    <row r="260" spans="1:1">
      <c r="A260" s="96"/>
    </row>
    <row r="261" spans="1:1">
      <c r="A261" s="96"/>
    </row>
    <row r="262" spans="1:1">
      <c r="A262" s="96"/>
    </row>
    <row r="263" spans="1:1">
      <c r="A263" s="96"/>
    </row>
    <row r="264" spans="1:1">
      <c r="A264" s="96"/>
    </row>
    <row r="265" spans="1:1">
      <c r="A265" s="96"/>
    </row>
    <row r="266" spans="1:1">
      <c r="A266" s="96"/>
    </row>
    <row r="267" spans="1:1">
      <c r="A267" s="96"/>
    </row>
    <row r="268" spans="1:1">
      <c r="A268" s="96"/>
    </row>
    <row r="269" spans="1:1">
      <c r="A269" s="96"/>
    </row>
    <row r="270" spans="1:1">
      <c r="A270" s="96"/>
    </row>
    <row r="271" spans="1:1">
      <c r="A271" s="96"/>
    </row>
    <row r="272" spans="1:1">
      <c r="A272" s="96"/>
    </row>
    <row r="273" spans="1:1">
      <c r="A273" s="96"/>
    </row>
    <row r="274" spans="1:1">
      <c r="A274" s="96"/>
    </row>
    <row r="275" spans="1:1">
      <c r="A275" s="96"/>
    </row>
    <row r="276" spans="1:1">
      <c r="A276" s="96"/>
    </row>
    <row r="277" spans="1:1">
      <c r="A277" s="96"/>
    </row>
    <row r="278" spans="1:1">
      <c r="A278" s="96"/>
    </row>
    <row r="279" spans="1:1">
      <c r="A279" s="96"/>
    </row>
    <row r="280" spans="1:1">
      <c r="A280" s="96"/>
    </row>
    <row r="281" spans="1:1">
      <c r="A281" s="96"/>
    </row>
    <row r="282" spans="1:1">
      <c r="A282" s="96"/>
    </row>
    <row r="283" spans="1:1">
      <c r="A283" s="96"/>
    </row>
    <row r="284" spans="1:1">
      <c r="A284" s="96"/>
    </row>
    <row r="285" spans="1:1">
      <c r="A285" s="96"/>
    </row>
    <row r="286" spans="1:1">
      <c r="A286" s="96"/>
    </row>
    <row r="287" spans="1:1">
      <c r="A287" s="96"/>
    </row>
    <row r="288" spans="1:1">
      <c r="A288" s="96"/>
    </row>
    <row r="289" spans="1:1">
      <c r="A289" s="96"/>
    </row>
    <row r="290" spans="1:1">
      <c r="A290" s="96"/>
    </row>
    <row r="291" spans="1:1">
      <c r="A291" s="96"/>
    </row>
    <row r="292" spans="1:1">
      <c r="A292" s="96"/>
    </row>
    <row r="293" spans="1:1">
      <c r="A293" s="96"/>
    </row>
    <row r="294" spans="1:1">
      <c r="A294" s="96"/>
    </row>
    <row r="295" spans="1:1">
      <c r="A295" s="96"/>
    </row>
    <row r="296" spans="1:1">
      <c r="A296" s="96"/>
    </row>
    <row r="297" spans="1:1">
      <c r="A297" s="96"/>
    </row>
    <row r="298" spans="1:1">
      <c r="A298" s="96"/>
    </row>
    <row r="299" spans="1:1">
      <c r="A299" s="96"/>
    </row>
    <row r="300" spans="1:1">
      <c r="A300" s="96"/>
    </row>
    <row r="301" spans="1:1">
      <c r="A301" s="96"/>
    </row>
    <row r="302" spans="1:1">
      <c r="A302" s="96"/>
    </row>
    <row r="303" spans="1:1">
      <c r="A303" s="96"/>
    </row>
    <row r="304" spans="1:1">
      <c r="A304" s="96"/>
    </row>
    <row r="305" spans="1:1">
      <c r="A305" s="96"/>
    </row>
    <row r="306" spans="1:1">
      <c r="A306" s="96"/>
    </row>
    <row r="307" spans="1:1">
      <c r="A307" s="96"/>
    </row>
    <row r="308" spans="1:1">
      <c r="A308" s="96"/>
    </row>
    <row r="309" spans="1:1">
      <c r="A309" s="96"/>
    </row>
    <row r="310" spans="1:1">
      <c r="A310" s="96"/>
    </row>
    <row r="311" spans="1:1">
      <c r="A311" s="96"/>
    </row>
    <row r="312" spans="1:1">
      <c r="A312" s="96"/>
    </row>
    <row r="313" spans="1:1">
      <c r="A313" s="96"/>
    </row>
    <row r="314" spans="1:1">
      <c r="A314" s="96"/>
    </row>
    <row r="315" spans="1:1">
      <c r="A315" s="96"/>
    </row>
    <row r="316" spans="1:1">
      <c r="A316" s="96"/>
    </row>
    <row r="317" spans="1:1">
      <c r="A317" s="96"/>
    </row>
    <row r="318" spans="1:1">
      <c r="A318" s="96"/>
    </row>
    <row r="319" spans="1:1">
      <c r="A319" s="96"/>
    </row>
    <row r="320" spans="1:1">
      <c r="A320" s="96"/>
    </row>
    <row r="321" spans="1:1">
      <c r="A321" s="96"/>
    </row>
    <row r="322" spans="1:1">
      <c r="A322" s="96"/>
    </row>
    <row r="323" spans="1:1">
      <c r="A323" s="96"/>
    </row>
    <row r="324" spans="1:1">
      <c r="A324" s="96"/>
    </row>
    <row r="325" spans="1:1">
      <c r="A325" s="96"/>
    </row>
    <row r="326" spans="1:1">
      <c r="A326" s="96"/>
    </row>
    <row r="327" spans="1:1">
      <c r="A327" s="96"/>
    </row>
    <row r="328" spans="1:1">
      <c r="A328" s="96"/>
    </row>
    <row r="329" spans="1:1">
      <c r="A329" s="96"/>
    </row>
    <row r="330" spans="1:1">
      <c r="A330" s="96"/>
    </row>
    <row r="331" spans="1:1">
      <c r="A331" s="96"/>
    </row>
    <row r="332" spans="1:1">
      <c r="A332" s="96"/>
    </row>
    <row r="333" spans="1:1">
      <c r="A333" s="96"/>
    </row>
    <row r="334" spans="1:1">
      <c r="A334" s="96"/>
    </row>
    <row r="335" spans="1:1">
      <c r="A335" s="96"/>
    </row>
    <row r="336" spans="1:1">
      <c r="A336" s="96"/>
    </row>
    <row r="337" spans="1:1">
      <c r="A337" s="96"/>
    </row>
    <row r="338" spans="1:1">
      <c r="A338" s="96"/>
    </row>
    <row r="339" spans="1:1">
      <c r="A339" s="96"/>
    </row>
    <row r="340" spans="1:1">
      <c r="A340" s="96"/>
    </row>
    <row r="341" spans="1:1">
      <c r="A341" s="96"/>
    </row>
    <row r="342" spans="1:1">
      <c r="A342" s="96"/>
    </row>
    <row r="343" spans="1:1">
      <c r="A343" s="96"/>
    </row>
    <row r="344" spans="1:1">
      <c r="A344" s="96"/>
    </row>
    <row r="345" spans="1:1">
      <c r="A345" s="96"/>
    </row>
    <row r="346" spans="1:1">
      <c r="A346" s="96"/>
    </row>
    <row r="347" spans="1:1">
      <c r="A347" s="96"/>
    </row>
    <row r="348" spans="1:1">
      <c r="A348" s="96"/>
    </row>
    <row r="349" spans="1:1">
      <c r="A349" s="96"/>
    </row>
    <row r="350" spans="1:1">
      <c r="A350" s="96"/>
    </row>
    <row r="351" spans="1:1">
      <c r="A351" s="96"/>
    </row>
    <row r="352" spans="1:1">
      <c r="A352" s="96"/>
    </row>
    <row r="353" spans="1:1">
      <c r="A353" s="96"/>
    </row>
    <row r="354" spans="1:1">
      <c r="A354" s="96"/>
    </row>
    <row r="355" spans="1:1">
      <c r="A355" s="96"/>
    </row>
    <row r="356" spans="1:1">
      <c r="A356" s="96"/>
    </row>
    <row r="357" spans="1:1">
      <c r="A357" s="96"/>
    </row>
    <row r="358" spans="1:1">
      <c r="A358" s="96"/>
    </row>
    <row r="359" spans="1:1">
      <c r="A359" s="96"/>
    </row>
    <row r="360" spans="1:1">
      <c r="A360" s="96"/>
    </row>
    <row r="361" spans="1:1">
      <c r="A361" s="96"/>
    </row>
    <row r="362" spans="1:1">
      <c r="A362" s="96"/>
    </row>
    <row r="363" spans="1:1">
      <c r="A363" s="96"/>
    </row>
    <row r="364" spans="1:1">
      <c r="A364" s="96"/>
    </row>
  </sheetData>
  <mergeCells count="4">
    <mergeCell ref="C141:D141"/>
    <mergeCell ref="C142:D142"/>
    <mergeCell ref="A1:F1"/>
    <mergeCell ref="E141:G141"/>
  </mergeCells>
  <pageMargins left="0.39370078740157483" right="0.39370078740157483" top="0.78740157480314965" bottom="0.39370078740157483" header="0.19685039370078741" footer="0.19685039370078741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P105"/>
  <sheetViews>
    <sheetView view="pageBreakPreview" zoomScale="50" zoomScaleNormal="60" zoomScaleSheetLayoutView="50" workbookViewId="0">
      <selection activeCell="U13" sqref="U13"/>
    </sheetView>
  </sheetViews>
  <sheetFormatPr defaultRowHeight="20.25"/>
  <cols>
    <col min="1" max="1" width="8.28515625" style="18" customWidth="1"/>
    <col min="2" max="2" width="26.140625" style="18" customWidth="1"/>
    <col min="3" max="3" width="11.28515625" style="18" customWidth="1"/>
    <col min="4" max="4" width="17.5703125" style="18" customWidth="1"/>
    <col min="5" max="5" width="20.42578125" style="18" customWidth="1"/>
    <col min="6" max="6" width="18.42578125" style="18" customWidth="1"/>
    <col min="7" max="7" width="21.5703125" style="18" customWidth="1"/>
    <col min="8" max="8" width="18.42578125" style="18" customWidth="1"/>
    <col min="9" max="9" width="20.140625" style="18" customWidth="1"/>
    <col min="10" max="10" width="18.42578125" style="18" customWidth="1"/>
    <col min="11" max="11" width="18.7109375" style="18" customWidth="1"/>
    <col min="12" max="12" width="19" style="18" customWidth="1"/>
    <col min="13" max="13" width="20.42578125" style="18" customWidth="1"/>
    <col min="14" max="16" width="18.42578125" style="18" customWidth="1"/>
    <col min="17" max="16384" width="9.140625" style="18"/>
  </cols>
  <sheetData>
    <row r="1" spans="1:16">
      <c r="A1" s="120"/>
      <c r="B1" s="120"/>
      <c r="C1" s="120"/>
      <c r="D1" s="120"/>
      <c r="E1" s="120"/>
      <c r="F1" s="120"/>
      <c r="G1" s="120"/>
      <c r="H1" s="120"/>
      <c r="I1" s="27"/>
      <c r="J1" s="27"/>
      <c r="K1" s="28"/>
      <c r="L1" s="28"/>
      <c r="M1" s="28"/>
      <c r="N1" s="28"/>
      <c r="O1" s="28"/>
      <c r="P1" s="27"/>
    </row>
    <row r="2" spans="1:16" s="30" customFormat="1" ht="63.75" customHeight="1">
      <c r="A2" s="29"/>
      <c r="B2" s="29"/>
      <c r="C2" s="29"/>
      <c r="D2" s="29"/>
      <c r="E2" s="326" t="s">
        <v>556</v>
      </c>
      <c r="F2" s="326"/>
      <c r="G2" s="326"/>
      <c r="H2" s="326"/>
      <c r="I2" s="326"/>
      <c r="J2" s="326"/>
      <c r="K2" s="326"/>
      <c r="L2" s="326"/>
      <c r="M2" s="326"/>
      <c r="N2" s="326"/>
      <c r="O2" s="29"/>
      <c r="P2" s="29"/>
    </row>
    <row r="3" spans="1:16">
      <c r="A3" s="31"/>
      <c r="B3" s="31"/>
      <c r="C3" s="31"/>
      <c r="D3" s="31"/>
      <c r="E3" s="32"/>
      <c r="F3" s="32"/>
      <c r="G3" s="32"/>
      <c r="H3" s="32"/>
      <c r="I3" s="32"/>
      <c r="J3" s="32"/>
      <c r="K3" s="28"/>
      <c r="L3" s="28"/>
      <c r="M3" s="28"/>
      <c r="N3" s="28"/>
      <c r="O3" s="28"/>
      <c r="P3" s="27" t="s">
        <v>50</v>
      </c>
    </row>
    <row r="4" spans="1:16" ht="52.5" customHeight="1">
      <c r="A4" s="287" t="s">
        <v>8</v>
      </c>
      <c r="B4" s="287" t="s">
        <v>20</v>
      </c>
      <c r="C4" s="287"/>
      <c r="D4" s="287"/>
      <c r="E4" s="287" t="s">
        <v>132</v>
      </c>
      <c r="F4" s="287"/>
      <c r="G4" s="287" t="s">
        <v>133</v>
      </c>
      <c r="H4" s="287"/>
      <c r="I4" s="287" t="s">
        <v>134</v>
      </c>
      <c r="J4" s="287"/>
      <c r="K4" s="287" t="s">
        <v>135</v>
      </c>
      <c r="L4" s="287"/>
      <c r="M4" s="287" t="s">
        <v>136</v>
      </c>
      <c r="N4" s="287"/>
      <c r="O4" s="287"/>
      <c r="P4" s="287"/>
    </row>
    <row r="5" spans="1:16" ht="111" customHeight="1">
      <c r="A5" s="287"/>
      <c r="B5" s="287"/>
      <c r="C5" s="287"/>
      <c r="D5" s="287"/>
      <c r="E5" s="71" t="s">
        <v>413</v>
      </c>
      <c r="F5" s="71" t="s">
        <v>414</v>
      </c>
      <c r="G5" s="71" t="s">
        <v>413</v>
      </c>
      <c r="H5" s="71" t="s">
        <v>414</v>
      </c>
      <c r="I5" s="71" t="s">
        <v>413</v>
      </c>
      <c r="J5" s="71" t="s">
        <v>414</v>
      </c>
      <c r="K5" s="71" t="s">
        <v>413</v>
      </c>
      <c r="L5" s="71" t="s">
        <v>414</v>
      </c>
      <c r="M5" s="71" t="s">
        <v>413</v>
      </c>
      <c r="N5" s="71" t="s">
        <v>414</v>
      </c>
      <c r="O5" s="121" t="s">
        <v>109</v>
      </c>
      <c r="P5" s="121" t="s">
        <v>112</v>
      </c>
    </row>
    <row r="6" spans="1:16" ht="30" customHeight="1">
      <c r="A6" s="121">
        <v>1</v>
      </c>
      <c r="B6" s="287">
        <v>2</v>
      </c>
      <c r="C6" s="287"/>
      <c r="D6" s="287"/>
      <c r="E6" s="121">
        <v>4</v>
      </c>
      <c r="F6" s="121">
        <v>5</v>
      </c>
      <c r="G6" s="121">
        <v>7</v>
      </c>
      <c r="H6" s="121">
        <v>8</v>
      </c>
      <c r="I6" s="121">
        <v>10</v>
      </c>
      <c r="J6" s="121">
        <v>11</v>
      </c>
      <c r="K6" s="6">
        <v>13</v>
      </c>
      <c r="L6" s="6">
        <v>14</v>
      </c>
      <c r="M6" s="6">
        <v>16</v>
      </c>
      <c r="N6" s="6">
        <v>17</v>
      </c>
      <c r="O6" s="6">
        <v>18</v>
      </c>
      <c r="P6" s="6">
        <v>19</v>
      </c>
    </row>
    <row r="7" spans="1:16" ht="48" customHeight="1">
      <c r="A7" s="8" t="s">
        <v>84</v>
      </c>
      <c r="B7" s="327" t="s">
        <v>94</v>
      </c>
      <c r="C7" s="328"/>
      <c r="D7" s="328"/>
      <c r="E7" s="33">
        <f t="shared" ref="E7:K7" si="0">SUM(E8:E23)</f>
        <v>0</v>
      </c>
      <c r="F7" s="33">
        <f t="shared" si="0"/>
        <v>0</v>
      </c>
      <c r="G7" s="33">
        <f t="shared" si="0"/>
        <v>0</v>
      </c>
      <c r="H7" s="33">
        <f t="shared" si="0"/>
        <v>0</v>
      </c>
      <c r="I7" s="33">
        <f t="shared" si="0"/>
        <v>0</v>
      </c>
      <c r="J7" s="33">
        <f t="shared" si="0"/>
        <v>4026</v>
      </c>
      <c r="K7" s="33">
        <f t="shared" si="0"/>
        <v>0</v>
      </c>
      <c r="L7" s="33">
        <f>SUM(L8:L23)</f>
        <v>4900.9000000000005</v>
      </c>
      <c r="M7" s="1">
        <f>E7+G7+I7+K7</f>
        <v>0</v>
      </c>
      <c r="N7" s="1">
        <f>F7+H7+J7+L7</f>
        <v>8926.9000000000015</v>
      </c>
      <c r="O7" s="1">
        <f>N7-M7</f>
        <v>8926.9000000000015</v>
      </c>
      <c r="P7" s="138" t="e">
        <f>(N7/M7)*100</f>
        <v>#DIV/0!</v>
      </c>
    </row>
    <row r="8" spans="1:16" ht="48" customHeight="1">
      <c r="A8" s="121"/>
      <c r="B8" s="334" t="s">
        <v>341</v>
      </c>
      <c r="C8" s="335"/>
      <c r="D8" s="336"/>
      <c r="E8" s="1"/>
      <c r="F8" s="1"/>
      <c r="G8" s="1"/>
      <c r="H8" s="1"/>
      <c r="I8" s="1"/>
      <c r="J8" s="1"/>
      <c r="K8" s="33"/>
      <c r="L8" s="34">
        <v>103.9</v>
      </c>
      <c r="M8" s="1"/>
      <c r="N8" s="7">
        <f>F8+H8+J8+L8</f>
        <v>103.9</v>
      </c>
      <c r="O8" s="1">
        <f t="shared" ref="O8:O71" si="1">N8-M8</f>
        <v>103.9</v>
      </c>
      <c r="P8" s="138" t="e">
        <f t="shared" ref="P8:P71" si="2">(N8/M8)*100</f>
        <v>#DIV/0!</v>
      </c>
    </row>
    <row r="9" spans="1:16" ht="48" customHeight="1">
      <c r="A9" s="121"/>
      <c r="B9" s="334" t="s">
        <v>342</v>
      </c>
      <c r="C9" s="335"/>
      <c r="D9" s="336"/>
      <c r="E9" s="1"/>
      <c r="F9" s="1"/>
      <c r="G9" s="1"/>
      <c r="H9" s="1"/>
      <c r="I9" s="1"/>
      <c r="J9" s="1"/>
      <c r="K9" s="33"/>
      <c r="L9" s="34">
        <v>158.6</v>
      </c>
      <c r="M9" s="1"/>
      <c r="N9" s="7">
        <f t="shared" ref="N9:N23" si="3">F9+H9+J9+L9</f>
        <v>158.6</v>
      </c>
      <c r="O9" s="1">
        <f t="shared" si="1"/>
        <v>158.6</v>
      </c>
      <c r="P9" s="138" t="e">
        <f t="shared" si="2"/>
        <v>#DIV/0!</v>
      </c>
    </row>
    <row r="10" spans="1:16" ht="28.5" customHeight="1">
      <c r="A10" s="121"/>
      <c r="B10" s="334" t="s">
        <v>343</v>
      </c>
      <c r="C10" s="335"/>
      <c r="D10" s="336"/>
      <c r="E10" s="1"/>
      <c r="F10" s="1"/>
      <c r="G10" s="1"/>
      <c r="H10" s="1"/>
      <c r="I10" s="1"/>
      <c r="J10" s="1"/>
      <c r="K10" s="33"/>
      <c r="L10" s="34">
        <v>50.4</v>
      </c>
      <c r="M10" s="1"/>
      <c r="N10" s="7">
        <f t="shared" si="3"/>
        <v>50.4</v>
      </c>
      <c r="O10" s="1">
        <f t="shared" si="1"/>
        <v>50.4</v>
      </c>
      <c r="P10" s="138" t="e">
        <f t="shared" si="2"/>
        <v>#DIV/0!</v>
      </c>
    </row>
    <row r="11" spans="1:16" ht="30" customHeight="1">
      <c r="A11" s="121"/>
      <c r="B11" s="331" t="s">
        <v>223</v>
      </c>
      <c r="C11" s="332"/>
      <c r="D11" s="332"/>
      <c r="E11" s="7"/>
      <c r="F11" s="7"/>
      <c r="G11" s="7"/>
      <c r="H11" s="7"/>
      <c r="I11" s="7"/>
      <c r="J11" s="7"/>
      <c r="K11" s="34"/>
      <c r="L11" s="34">
        <v>162.5</v>
      </c>
      <c r="M11" s="1">
        <f>E11+G11+I11+K11</f>
        <v>0</v>
      </c>
      <c r="N11" s="7">
        <f t="shared" si="3"/>
        <v>162.5</v>
      </c>
      <c r="O11" s="1">
        <f t="shared" si="1"/>
        <v>162.5</v>
      </c>
      <c r="P11" s="140" t="e">
        <f t="shared" si="2"/>
        <v>#DIV/0!</v>
      </c>
    </row>
    <row r="12" spans="1:16" ht="45" customHeight="1">
      <c r="A12" s="121"/>
      <c r="B12" s="343" t="s">
        <v>361</v>
      </c>
      <c r="C12" s="344"/>
      <c r="D12" s="345"/>
      <c r="E12" s="7"/>
      <c r="F12" s="7"/>
      <c r="G12" s="7"/>
      <c r="H12" s="7"/>
      <c r="I12" s="7"/>
      <c r="J12" s="7"/>
      <c r="K12" s="34"/>
      <c r="L12" s="34">
        <v>2022.6</v>
      </c>
      <c r="M12" s="1"/>
      <c r="N12" s="7">
        <f t="shared" si="3"/>
        <v>2022.6</v>
      </c>
      <c r="O12" s="1">
        <f t="shared" si="1"/>
        <v>2022.6</v>
      </c>
      <c r="P12" s="140" t="e">
        <f t="shared" si="2"/>
        <v>#DIV/0!</v>
      </c>
    </row>
    <row r="13" spans="1:16" ht="46.5" customHeight="1">
      <c r="A13" s="121"/>
      <c r="B13" s="343" t="s">
        <v>363</v>
      </c>
      <c r="C13" s="344"/>
      <c r="D13" s="345"/>
      <c r="E13" s="7"/>
      <c r="F13" s="7"/>
      <c r="G13" s="7"/>
      <c r="H13" s="7"/>
      <c r="I13" s="7"/>
      <c r="J13" s="7"/>
      <c r="K13" s="34"/>
      <c r="L13" s="34">
        <v>455.4</v>
      </c>
      <c r="M13" s="1"/>
      <c r="N13" s="7">
        <f t="shared" si="3"/>
        <v>455.4</v>
      </c>
      <c r="O13" s="1">
        <f t="shared" si="1"/>
        <v>455.4</v>
      </c>
      <c r="P13" s="140" t="e">
        <f t="shared" si="2"/>
        <v>#DIV/0!</v>
      </c>
    </row>
    <row r="14" spans="1:16" ht="30" customHeight="1">
      <c r="A14" s="121"/>
      <c r="B14" s="340" t="s">
        <v>364</v>
      </c>
      <c r="C14" s="341"/>
      <c r="D14" s="342"/>
      <c r="E14" s="7"/>
      <c r="F14" s="7"/>
      <c r="G14" s="7"/>
      <c r="H14" s="7"/>
      <c r="I14" s="7"/>
      <c r="J14" s="7"/>
      <c r="K14" s="34"/>
      <c r="L14" s="34">
        <v>235.3</v>
      </c>
      <c r="M14" s="1"/>
      <c r="N14" s="7">
        <f t="shared" si="3"/>
        <v>235.3</v>
      </c>
      <c r="O14" s="1">
        <f t="shared" si="1"/>
        <v>235.3</v>
      </c>
      <c r="P14" s="140" t="e">
        <f t="shared" si="2"/>
        <v>#DIV/0!</v>
      </c>
    </row>
    <row r="15" spans="1:16" ht="45" customHeight="1">
      <c r="A15" s="121"/>
      <c r="B15" s="343" t="s">
        <v>365</v>
      </c>
      <c r="C15" s="344"/>
      <c r="D15" s="345"/>
      <c r="E15" s="7"/>
      <c r="F15" s="7"/>
      <c r="G15" s="7"/>
      <c r="H15" s="7"/>
      <c r="I15" s="7"/>
      <c r="J15" s="7"/>
      <c r="K15" s="34"/>
      <c r="L15" s="34">
        <v>307.5</v>
      </c>
      <c r="M15" s="1"/>
      <c r="N15" s="7">
        <f t="shared" si="3"/>
        <v>307.5</v>
      </c>
      <c r="O15" s="1">
        <f t="shared" si="1"/>
        <v>307.5</v>
      </c>
      <c r="P15" s="140" t="e">
        <f t="shared" si="2"/>
        <v>#DIV/0!</v>
      </c>
    </row>
    <row r="16" spans="1:16" ht="45" customHeight="1">
      <c r="A16" s="121"/>
      <c r="B16" s="343" t="s">
        <v>466</v>
      </c>
      <c r="C16" s="344"/>
      <c r="D16" s="345"/>
      <c r="E16" s="7"/>
      <c r="F16" s="7"/>
      <c r="G16" s="7"/>
      <c r="H16" s="7"/>
      <c r="I16" s="7"/>
      <c r="J16" s="7"/>
      <c r="K16" s="34"/>
      <c r="L16" s="34">
        <v>911.8</v>
      </c>
      <c r="M16" s="1"/>
      <c r="N16" s="7">
        <f t="shared" si="3"/>
        <v>911.8</v>
      </c>
      <c r="O16" s="1">
        <f t="shared" si="1"/>
        <v>911.8</v>
      </c>
      <c r="P16" s="140" t="e">
        <f t="shared" si="2"/>
        <v>#DIV/0!</v>
      </c>
    </row>
    <row r="17" spans="1:16" ht="61.5" customHeight="1">
      <c r="A17" s="121"/>
      <c r="B17" s="343" t="s">
        <v>424</v>
      </c>
      <c r="C17" s="344"/>
      <c r="D17" s="345"/>
      <c r="E17" s="7"/>
      <c r="F17" s="7"/>
      <c r="G17" s="7"/>
      <c r="H17" s="7"/>
      <c r="I17" s="7"/>
      <c r="J17" s="7"/>
      <c r="K17" s="34"/>
      <c r="L17" s="34">
        <v>45.7</v>
      </c>
      <c r="M17" s="1"/>
      <c r="N17" s="7">
        <f t="shared" si="3"/>
        <v>45.7</v>
      </c>
      <c r="O17" s="1">
        <f t="shared" si="1"/>
        <v>45.7</v>
      </c>
      <c r="P17" s="140" t="e">
        <f t="shared" si="2"/>
        <v>#DIV/0!</v>
      </c>
    </row>
    <row r="18" spans="1:16" ht="33" customHeight="1">
      <c r="A18" s="121"/>
      <c r="B18" s="343" t="s">
        <v>425</v>
      </c>
      <c r="C18" s="344"/>
      <c r="D18" s="345"/>
      <c r="E18" s="7"/>
      <c r="F18" s="7"/>
      <c r="G18" s="7"/>
      <c r="H18" s="7"/>
      <c r="I18" s="7"/>
      <c r="J18" s="7"/>
      <c r="K18" s="34"/>
      <c r="L18" s="34">
        <v>106.1</v>
      </c>
      <c r="M18" s="1"/>
      <c r="N18" s="7">
        <f t="shared" si="3"/>
        <v>106.1</v>
      </c>
      <c r="O18" s="1">
        <f t="shared" si="1"/>
        <v>106.1</v>
      </c>
      <c r="P18" s="140" t="e">
        <f t="shared" si="2"/>
        <v>#DIV/0!</v>
      </c>
    </row>
    <row r="19" spans="1:16" ht="45" customHeight="1">
      <c r="A19" s="121"/>
      <c r="B19" s="343" t="s">
        <v>426</v>
      </c>
      <c r="C19" s="344"/>
      <c r="D19" s="345"/>
      <c r="E19" s="7"/>
      <c r="F19" s="7"/>
      <c r="G19" s="7"/>
      <c r="H19" s="7"/>
      <c r="I19" s="7"/>
      <c r="J19" s="7"/>
      <c r="K19" s="34"/>
      <c r="L19" s="34">
        <v>341.1</v>
      </c>
      <c r="M19" s="1"/>
      <c r="N19" s="7">
        <f t="shared" si="3"/>
        <v>341.1</v>
      </c>
      <c r="O19" s="1">
        <f t="shared" si="1"/>
        <v>341.1</v>
      </c>
      <c r="P19" s="140" t="e">
        <f t="shared" si="2"/>
        <v>#DIV/0!</v>
      </c>
    </row>
    <row r="20" spans="1:16" ht="33" customHeight="1">
      <c r="A20" s="121"/>
      <c r="B20" s="343" t="s">
        <v>463</v>
      </c>
      <c r="C20" s="344"/>
      <c r="D20" s="345"/>
      <c r="E20" s="7"/>
      <c r="F20" s="7"/>
      <c r="G20" s="7"/>
      <c r="H20" s="7"/>
      <c r="I20" s="7"/>
      <c r="J20" s="7">
        <v>3650</v>
      </c>
      <c r="K20" s="34"/>
      <c r="L20" s="34"/>
      <c r="M20" s="1"/>
      <c r="N20" s="7">
        <f t="shared" si="3"/>
        <v>3650</v>
      </c>
      <c r="O20" s="1">
        <f t="shared" si="1"/>
        <v>3650</v>
      </c>
      <c r="P20" s="140" t="e">
        <f t="shared" si="2"/>
        <v>#DIV/0!</v>
      </c>
    </row>
    <row r="21" spans="1:16" ht="43.5" customHeight="1">
      <c r="A21" s="121"/>
      <c r="B21" s="343" t="s">
        <v>464</v>
      </c>
      <c r="C21" s="344"/>
      <c r="D21" s="345"/>
      <c r="E21" s="7"/>
      <c r="F21" s="7"/>
      <c r="G21" s="7"/>
      <c r="H21" s="7"/>
      <c r="I21" s="7"/>
      <c r="J21" s="7">
        <v>290</v>
      </c>
      <c r="K21" s="34"/>
      <c r="L21" s="34"/>
      <c r="M21" s="1"/>
      <c r="N21" s="7">
        <f t="shared" si="3"/>
        <v>290</v>
      </c>
      <c r="O21" s="1">
        <f t="shared" si="1"/>
        <v>290</v>
      </c>
      <c r="P21" s="140" t="e">
        <f t="shared" si="2"/>
        <v>#DIV/0!</v>
      </c>
    </row>
    <row r="22" spans="1:16" ht="25.5" customHeight="1">
      <c r="A22" s="121"/>
      <c r="B22" s="343" t="s">
        <v>465</v>
      </c>
      <c r="C22" s="344"/>
      <c r="D22" s="345"/>
      <c r="E22" s="7"/>
      <c r="F22" s="7"/>
      <c r="G22" s="7"/>
      <c r="H22" s="7"/>
      <c r="I22" s="7"/>
      <c r="J22" s="7">
        <v>46</v>
      </c>
      <c r="K22" s="34"/>
      <c r="L22" s="34"/>
      <c r="M22" s="1"/>
      <c r="N22" s="7">
        <f t="shared" si="3"/>
        <v>46</v>
      </c>
      <c r="O22" s="1">
        <f t="shared" si="1"/>
        <v>46</v>
      </c>
      <c r="P22" s="140" t="e">
        <f t="shared" si="2"/>
        <v>#DIV/0!</v>
      </c>
    </row>
    <row r="23" spans="1:16" ht="28.5" customHeight="1">
      <c r="A23" s="121"/>
      <c r="B23" s="343" t="s">
        <v>465</v>
      </c>
      <c r="C23" s="344"/>
      <c r="D23" s="345"/>
      <c r="E23" s="7"/>
      <c r="F23" s="7"/>
      <c r="G23" s="7"/>
      <c r="H23" s="7"/>
      <c r="I23" s="7"/>
      <c r="J23" s="7">
        <v>40</v>
      </c>
      <c r="K23" s="34"/>
      <c r="L23" s="34"/>
      <c r="M23" s="1"/>
      <c r="N23" s="7">
        <f t="shared" si="3"/>
        <v>40</v>
      </c>
      <c r="O23" s="1">
        <f t="shared" si="1"/>
        <v>40</v>
      </c>
      <c r="P23" s="140" t="e">
        <f t="shared" si="2"/>
        <v>#DIV/0!</v>
      </c>
    </row>
    <row r="24" spans="1:16" ht="79.5" customHeight="1">
      <c r="A24" s="8" t="s">
        <v>93</v>
      </c>
      <c r="B24" s="327" t="s">
        <v>95</v>
      </c>
      <c r="C24" s="328"/>
      <c r="D24" s="328"/>
      <c r="E24" s="33">
        <f t="shared" ref="E24:K24" si="4">SUM(E25:E83)</f>
        <v>0</v>
      </c>
      <c r="F24" s="33">
        <f t="shared" si="4"/>
        <v>0</v>
      </c>
      <c r="G24" s="33">
        <f t="shared" si="4"/>
        <v>0</v>
      </c>
      <c r="H24" s="33">
        <f t="shared" si="4"/>
        <v>66.400000000000006</v>
      </c>
      <c r="I24" s="33">
        <f t="shared" si="4"/>
        <v>0</v>
      </c>
      <c r="J24" s="33">
        <f t="shared" si="4"/>
        <v>0</v>
      </c>
      <c r="K24" s="33">
        <f t="shared" si="4"/>
        <v>0</v>
      </c>
      <c r="L24" s="33">
        <f>SUM(L25:L83)</f>
        <v>609.99999999999989</v>
      </c>
      <c r="M24" s="1">
        <f>E24+G24+I24+K24</f>
        <v>0</v>
      </c>
      <c r="N24" s="1">
        <f>F24+H24+J24+L24</f>
        <v>676.39999999999986</v>
      </c>
      <c r="O24" s="1">
        <f t="shared" si="1"/>
        <v>676.39999999999986</v>
      </c>
      <c r="P24" s="138" t="e">
        <f t="shared" si="2"/>
        <v>#DIV/0!</v>
      </c>
    </row>
    <row r="25" spans="1:16" ht="33" customHeight="1">
      <c r="A25" s="121"/>
      <c r="B25" s="352" t="s">
        <v>353</v>
      </c>
      <c r="C25" s="353"/>
      <c r="D25" s="354"/>
      <c r="E25" s="1"/>
      <c r="F25" s="1"/>
      <c r="G25" s="1"/>
      <c r="H25" s="1"/>
      <c r="I25" s="1"/>
      <c r="J25" s="1"/>
      <c r="K25" s="33"/>
      <c r="L25" s="34">
        <v>22</v>
      </c>
      <c r="M25" s="1"/>
      <c r="N25" s="7">
        <f>F25+H25+J25+L25</f>
        <v>22</v>
      </c>
      <c r="O25" s="1">
        <f t="shared" si="1"/>
        <v>22</v>
      </c>
      <c r="P25" s="138" t="e">
        <f t="shared" si="2"/>
        <v>#DIV/0!</v>
      </c>
    </row>
    <row r="26" spans="1:16" ht="25.5" customHeight="1">
      <c r="A26" s="121"/>
      <c r="B26" s="337" t="s">
        <v>344</v>
      </c>
      <c r="C26" s="338"/>
      <c r="D26" s="339"/>
      <c r="E26" s="1"/>
      <c r="F26" s="1"/>
      <c r="G26" s="1"/>
      <c r="H26" s="1"/>
      <c r="I26" s="1"/>
      <c r="J26" s="1"/>
      <c r="K26" s="33"/>
      <c r="L26" s="34">
        <v>14.6</v>
      </c>
      <c r="M26" s="1"/>
      <c r="N26" s="7">
        <f t="shared" ref="N26:N83" si="5">F26+H26+J26+L26</f>
        <v>14.6</v>
      </c>
      <c r="O26" s="1">
        <f t="shared" si="1"/>
        <v>14.6</v>
      </c>
      <c r="P26" s="138" t="e">
        <f t="shared" si="2"/>
        <v>#DIV/0!</v>
      </c>
    </row>
    <row r="27" spans="1:16" ht="28.5" customHeight="1">
      <c r="A27" s="121"/>
      <c r="B27" s="337" t="s">
        <v>345</v>
      </c>
      <c r="C27" s="338"/>
      <c r="D27" s="339"/>
      <c r="E27" s="1"/>
      <c r="F27" s="1"/>
      <c r="G27" s="1"/>
      <c r="H27" s="1"/>
      <c r="I27" s="1"/>
      <c r="J27" s="1"/>
      <c r="K27" s="33"/>
      <c r="L27" s="34"/>
      <c r="M27" s="1"/>
      <c r="N27" s="7">
        <f t="shared" si="5"/>
        <v>0</v>
      </c>
      <c r="O27" s="1">
        <f t="shared" si="1"/>
        <v>0</v>
      </c>
      <c r="P27" s="138" t="e">
        <f t="shared" si="2"/>
        <v>#DIV/0!</v>
      </c>
    </row>
    <row r="28" spans="1:16" ht="33" customHeight="1">
      <c r="A28" s="121"/>
      <c r="B28" s="337" t="s">
        <v>346</v>
      </c>
      <c r="C28" s="338"/>
      <c r="D28" s="339"/>
      <c r="E28" s="1"/>
      <c r="F28" s="1"/>
      <c r="G28" s="1"/>
      <c r="H28" s="1"/>
      <c r="I28" s="1"/>
      <c r="J28" s="1"/>
      <c r="K28" s="33"/>
      <c r="L28" s="34"/>
      <c r="M28" s="1"/>
      <c r="N28" s="7">
        <f t="shared" si="5"/>
        <v>0</v>
      </c>
      <c r="O28" s="1">
        <f t="shared" si="1"/>
        <v>0</v>
      </c>
      <c r="P28" s="138" t="e">
        <f t="shared" si="2"/>
        <v>#DIV/0!</v>
      </c>
    </row>
    <row r="29" spans="1:16" ht="31.5" customHeight="1">
      <c r="A29" s="121"/>
      <c r="B29" s="337" t="s">
        <v>347</v>
      </c>
      <c r="C29" s="338"/>
      <c r="D29" s="339"/>
      <c r="E29" s="1"/>
      <c r="F29" s="1"/>
      <c r="G29" s="1"/>
      <c r="H29" s="1"/>
      <c r="I29" s="1"/>
      <c r="J29" s="1"/>
      <c r="K29" s="33"/>
      <c r="L29" s="34"/>
      <c r="M29" s="1"/>
      <c r="N29" s="7">
        <f t="shared" si="5"/>
        <v>0</v>
      </c>
      <c r="O29" s="1">
        <f t="shared" si="1"/>
        <v>0</v>
      </c>
      <c r="P29" s="138" t="e">
        <f t="shared" si="2"/>
        <v>#DIV/0!</v>
      </c>
    </row>
    <row r="30" spans="1:16" ht="31.5" customHeight="1">
      <c r="A30" s="121"/>
      <c r="B30" s="337" t="s">
        <v>348</v>
      </c>
      <c r="C30" s="338"/>
      <c r="D30" s="339"/>
      <c r="E30" s="1"/>
      <c r="F30" s="1"/>
      <c r="G30" s="1"/>
      <c r="H30" s="1"/>
      <c r="I30" s="1"/>
      <c r="J30" s="1"/>
      <c r="K30" s="33"/>
      <c r="L30" s="34">
        <v>34</v>
      </c>
      <c r="M30" s="1"/>
      <c r="N30" s="7">
        <f t="shared" si="5"/>
        <v>34</v>
      </c>
      <c r="O30" s="1">
        <f t="shared" si="1"/>
        <v>34</v>
      </c>
      <c r="P30" s="138" t="e">
        <f t="shared" si="2"/>
        <v>#DIV/0!</v>
      </c>
    </row>
    <row r="31" spans="1:16" ht="49.5" customHeight="1">
      <c r="A31" s="121"/>
      <c r="B31" s="334" t="s">
        <v>349</v>
      </c>
      <c r="C31" s="335"/>
      <c r="D31" s="336"/>
      <c r="E31" s="1"/>
      <c r="F31" s="1"/>
      <c r="G31" s="1"/>
      <c r="H31" s="1"/>
      <c r="I31" s="1"/>
      <c r="J31" s="1"/>
      <c r="K31" s="33"/>
      <c r="L31" s="34">
        <v>2.8</v>
      </c>
      <c r="M31" s="1"/>
      <c r="N31" s="7">
        <f t="shared" si="5"/>
        <v>2.8</v>
      </c>
      <c r="O31" s="1">
        <f t="shared" si="1"/>
        <v>2.8</v>
      </c>
      <c r="P31" s="138" t="e">
        <f t="shared" si="2"/>
        <v>#DIV/0!</v>
      </c>
    </row>
    <row r="32" spans="1:16" ht="43.5" customHeight="1">
      <c r="A32" s="121"/>
      <c r="B32" s="334" t="s">
        <v>350</v>
      </c>
      <c r="C32" s="335"/>
      <c r="D32" s="336"/>
      <c r="E32" s="7"/>
      <c r="F32" s="7"/>
      <c r="G32" s="7"/>
      <c r="H32" s="7"/>
      <c r="I32" s="7"/>
      <c r="J32" s="7"/>
      <c r="K32" s="34"/>
      <c r="L32" s="34">
        <v>15.3</v>
      </c>
      <c r="M32" s="1">
        <f>E32+G32+I32+K32</f>
        <v>0</v>
      </c>
      <c r="N32" s="7">
        <f t="shared" si="5"/>
        <v>15.3</v>
      </c>
      <c r="O32" s="1">
        <f t="shared" si="1"/>
        <v>15.3</v>
      </c>
      <c r="P32" s="140" t="e">
        <f t="shared" si="2"/>
        <v>#DIV/0!</v>
      </c>
    </row>
    <row r="33" spans="1:16" ht="27" customHeight="1">
      <c r="A33" s="121"/>
      <c r="B33" s="340" t="s">
        <v>366</v>
      </c>
      <c r="C33" s="341"/>
      <c r="D33" s="342"/>
      <c r="E33" s="7"/>
      <c r="F33" s="7"/>
      <c r="G33" s="7"/>
      <c r="H33" s="7"/>
      <c r="I33" s="7"/>
      <c r="J33" s="7"/>
      <c r="K33" s="34"/>
      <c r="L33" s="34"/>
      <c r="M33" s="1"/>
      <c r="N33" s="7">
        <f t="shared" si="5"/>
        <v>0</v>
      </c>
      <c r="O33" s="1">
        <f t="shared" si="1"/>
        <v>0</v>
      </c>
      <c r="P33" s="140" t="e">
        <f t="shared" si="2"/>
        <v>#DIV/0!</v>
      </c>
    </row>
    <row r="34" spans="1:16" ht="30" customHeight="1">
      <c r="A34" s="121"/>
      <c r="B34" s="340" t="s">
        <v>367</v>
      </c>
      <c r="C34" s="341"/>
      <c r="D34" s="342"/>
      <c r="E34" s="7"/>
      <c r="F34" s="7"/>
      <c r="G34" s="7"/>
      <c r="H34" s="7"/>
      <c r="I34" s="7"/>
      <c r="J34" s="7"/>
      <c r="K34" s="34"/>
      <c r="L34" s="34"/>
      <c r="M34" s="1"/>
      <c r="N34" s="7">
        <f t="shared" si="5"/>
        <v>0</v>
      </c>
      <c r="O34" s="1">
        <f t="shared" si="1"/>
        <v>0</v>
      </c>
      <c r="P34" s="140" t="e">
        <f t="shared" si="2"/>
        <v>#DIV/0!</v>
      </c>
    </row>
    <row r="35" spans="1:16" ht="30" customHeight="1">
      <c r="A35" s="121"/>
      <c r="B35" s="340" t="s">
        <v>368</v>
      </c>
      <c r="C35" s="341"/>
      <c r="D35" s="342"/>
      <c r="E35" s="7"/>
      <c r="F35" s="7"/>
      <c r="G35" s="7"/>
      <c r="H35" s="7"/>
      <c r="I35" s="7"/>
      <c r="J35" s="7"/>
      <c r="K35" s="34"/>
      <c r="L35" s="34"/>
      <c r="M35" s="1"/>
      <c r="N35" s="7">
        <f t="shared" si="5"/>
        <v>0</v>
      </c>
      <c r="O35" s="1">
        <f t="shared" si="1"/>
        <v>0</v>
      </c>
      <c r="P35" s="140" t="e">
        <f t="shared" si="2"/>
        <v>#DIV/0!</v>
      </c>
    </row>
    <row r="36" spans="1:16" ht="28.5" customHeight="1">
      <c r="A36" s="121"/>
      <c r="B36" s="340" t="s">
        <v>369</v>
      </c>
      <c r="C36" s="341"/>
      <c r="D36" s="342"/>
      <c r="E36" s="7"/>
      <c r="F36" s="7"/>
      <c r="G36" s="7"/>
      <c r="H36" s="7"/>
      <c r="I36" s="7"/>
      <c r="J36" s="7"/>
      <c r="K36" s="34"/>
      <c r="L36" s="34"/>
      <c r="M36" s="1"/>
      <c r="N36" s="7">
        <f t="shared" si="5"/>
        <v>0</v>
      </c>
      <c r="O36" s="1">
        <f t="shared" si="1"/>
        <v>0</v>
      </c>
      <c r="P36" s="140" t="e">
        <f t="shared" si="2"/>
        <v>#DIV/0!</v>
      </c>
    </row>
    <row r="37" spans="1:16" ht="31.5" customHeight="1">
      <c r="A37" s="121"/>
      <c r="B37" s="343" t="s">
        <v>357</v>
      </c>
      <c r="C37" s="344"/>
      <c r="D37" s="345"/>
      <c r="E37" s="7"/>
      <c r="F37" s="7"/>
      <c r="G37" s="7"/>
      <c r="H37" s="7"/>
      <c r="I37" s="7"/>
      <c r="J37" s="7"/>
      <c r="K37" s="34"/>
      <c r="L37" s="34">
        <v>2.7</v>
      </c>
      <c r="M37" s="1"/>
      <c r="N37" s="7">
        <f t="shared" si="5"/>
        <v>2.7</v>
      </c>
      <c r="O37" s="1">
        <f t="shared" si="1"/>
        <v>2.7</v>
      </c>
      <c r="P37" s="140" t="e">
        <f t="shared" si="2"/>
        <v>#DIV/0!</v>
      </c>
    </row>
    <row r="38" spans="1:16" ht="43.5" customHeight="1">
      <c r="A38" s="121"/>
      <c r="B38" s="343" t="s">
        <v>358</v>
      </c>
      <c r="C38" s="344"/>
      <c r="D38" s="345"/>
      <c r="E38" s="7"/>
      <c r="F38" s="7"/>
      <c r="G38" s="7"/>
      <c r="H38" s="7"/>
      <c r="I38" s="7"/>
      <c r="J38" s="7"/>
      <c r="K38" s="34"/>
      <c r="L38" s="34">
        <v>14.2</v>
      </c>
      <c r="M38" s="1"/>
      <c r="N38" s="7">
        <f t="shared" si="5"/>
        <v>14.2</v>
      </c>
      <c r="O38" s="1">
        <f t="shared" si="1"/>
        <v>14.2</v>
      </c>
      <c r="P38" s="140" t="e">
        <f t="shared" si="2"/>
        <v>#DIV/0!</v>
      </c>
    </row>
    <row r="39" spans="1:16" ht="30" customHeight="1">
      <c r="A39" s="121"/>
      <c r="B39" s="343" t="s">
        <v>359</v>
      </c>
      <c r="C39" s="344"/>
      <c r="D39" s="345"/>
      <c r="E39" s="7"/>
      <c r="F39" s="7"/>
      <c r="G39" s="7"/>
      <c r="H39" s="7"/>
      <c r="I39" s="7"/>
      <c r="J39" s="7"/>
      <c r="K39" s="34"/>
      <c r="L39" s="34">
        <v>19.600000000000001</v>
      </c>
      <c r="M39" s="1"/>
      <c r="N39" s="7">
        <f t="shared" si="5"/>
        <v>19.600000000000001</v>
      </c>
      <c r="O39" s="1">
        <f t="shared" si="1"/>
        <v>19.600000000000001</v>
      </c>
      <c r="P39" s="140" t="e">
        <f t="shared" si="2"/>
        <v>#DIV/0!</v>
      </c>
    </row>
    <row r="40" spans="1:16" ht="28.5" customHeight="1">
      <c r="A40" s="121"/>
      <c r="B40" s="343" t="s">
        <v>360</v>
      </c>
      <c r="C40" s="344"/>
      <c r="D40" s="345"/>
      <c r="E40" s="7"/>
      <c r="F40" s="7"/>
      <c r="G40" s="7"/>
      <c r="H40" s="7"/>
      <c r="I40" s="7"/>
      <c r="J40" s="7"/>
      <c r="K40" s="34"/>
      <c r="L40" s="34">
        <v>19.899999999999999</v>
      </c>
      <c r="M40" s="1"/>
      <c r="N40" s="7">
        <f t="shared" si="5"/>
        <v>19.899999999999999</v>
      </c>
      <c r="O40" s="1">
        <f t="shared" si="1"/>
        <v>19.899999999999999</v>
      </c>
      <c r="P40" s="140" t="e">
        <f t="shared" si="2"/>
        <v>#DIV/0!</v>
      </c>
    </row>
    <row r="41" spans="1:16" ht="27" customHeight="1">
      <c r="A41" s="121"/>
      <c r="B41" s="343" t="s">
        <v>427</v>
      </c>
      <c r="C41" s="344"/>
      <c r="D41" s="345"/>
      <c r="E41" s="7"/>
      <c r="F41" s="7"/>
      <c r="G41" s="7"/>
      <c r="H41" s="7"/>
      <c r="I41" s="7"/>
      <c r="J41" s="7"/>
      <c r="K41" s="34"/>
      <c r="L41" s="34">
        <v>0.3</v>
      </c>
      <c r="M41" s="1"/>
      <c r="N41" s="7">
        <f t="shared" si="5"/>
        <v>0.3</v>
      </c>
      <c r="O41" s="1">
        <f t="shared" si="1"/>
        <v>0.3</v>
      </c>
      <c r="P41" s="140" t="e">
        <f t="shared" si="2"/>
        <v>#DIV/0!</v>
      </c>
    </row>
    <row r="42" spans="1:16" ht="28.5" customHeight="1">
      <c r="A42" s="121"/>
      <c r="B42" s="343" t="s">
        <v>428</v>
      </c>
      <c r="C42" s="344"/>
      <c r="D42" s="345"/>
      <c r="E42" s="7"/>
      <c r="F42" s="7"/>
      <c r="G42" s="7"/>
      <c r="H42" s="7"/>
      <c r="I42" s="7"/>
      <c r="J42" s="7"/>
      <c r="K42" s="34"/>
      <c r="L42" s="34">
        <v>0.1</v>
      </c>
      <c r="M42" s="1"/>
      <c r="N42" s="7">
        <f t="shared" si="5"/>
        <v>0.1</v>
      </c>
      <c r="O42" s="1">
        <f t="shared" si="1"/>
        <v>0.1</v>
      </c>
      <c r="P42" s="140" t="e">
        <f t="shared" si="2"/>
        <v>#DIV/0!</v>
      </c>
    </row>
    <row r="43" spans="1:16" ht="43.5" customHeight="1">
      <c r="A43" s="121"/>
      <c r="B43" s="343" t="s">
        <v>429</v>
      </c>
      <c r="C43" s="344"/>
      <c r="D43" s="345"/>
      <c r="E43" s="7"/>
      <c r="F43" s="7"/>
      <c r="G43" s="7"/>
      <c r="H43" s="7"/>
      <c r="I43" s="7"/>
      <c r="J43" s="7"/>
      <c r="K43" s="34"/>
      <c r="L43" s="34">
        <v>2</v>
      </c>
      <c r="M43" s="1"/>
      <c r="N43" s="7">
        <f t="shared" si="5"/>
        <v>2</v>
      </c>
      <c r="O43" s="1">
        <f t="shared" si="1"/>
        <v>2</v>
      </c>
      <c r="P43" s="140" t="e">
        <f t="shared" si="2"/>
        <v>#DIV/0!</v>
      </c>
    </row>
    <row r="44" spans="1:16" ht="43.5" customHeight="1">
      <c r="A44" s="121"/>
      <c r="B44" s="343" t="s">
        <v>430</v>
      </c>
      <c r="C44" s="344"/>
      <c r="D44" s="345"/>
      <c r="E44" s="7"/>
      <c r="F44" s="7"/>
      <c r="G44" s="7"/>
      <c r="H44" s="7"/>
      <c r="I44" s="7"/>
      <c r="J44" s="7"/>
      <c r="K44" s="34"/>
      <c r="L44" s="34">
        <v>2</v>
      </c>
      <c r="M44" s="1"/>
      <c r="N44" s="7">
        <f t="shared" si="5"/>
        <v>2</v>
      </c>
      <c r="O44" s="1">
        <f t="shared" si="1"/>
        <v>2</v>
      </c>
      <c r="P44" s="140" t="e">
        <f t="shared" si="2"/>
        <v>#DIV/0!</v>
      </c>
    </row>
    <row r="45" spans="1:16" ht="28.5" customHeight="1">
      <c r="A45" s="121"/>
      <c r="B45" s="343" t="s">
        <v>431</v>
      </c>
      <c r="C45" s="344"/>
      <c r="D45" s="345"/>
      <c r="E45" s="7"/>
      <c r="F45" s="7"/>
      <c r="G45" s="7"/>
      <c r="H45" s="7"/>
      <c r="I45" s="7"/>
      <c r="J45" s="7"/>
      <c r="K45" s="34"/>
      <c r="L45" s="34">
        <v>0.5</v>
      </c>
      <c r="M45" s="1"/>
      <c r="N45" s="7">
        <f t="shared" si="5"/>
        <v>0.5</v>
      </c>
      <c r="O45" s="1">
        <f t="shared" si="1"/>
        <v>0.5</v>
      </c>
      <c r="P45" s="140" t="e">
        <f t="shared" si="2"/>
        <v>#DIV/0!</v>
      </c>
    </row>
    <row r="46" spans="1:16" ht="27" customHeight="1">
      <c r="A46" s="121"/>
      <c r="B46" s="343" t="s">
        <v>432</v>
      </c>
      <c r="C46" s="344"/>
      <c r="D46" s="345"/>
      <c r="E46" s="7"/>
      <c r="F46" s="7"/>
      <c r="G46" s="7"/>
      <c r="H46" s="7"/>
      <c r="I46" s="7"/>
      <c r="J46" s="7"/>
      <c r="K46" s="34"/>
      <c r="L46" s="34">
        <v>0.8</v>
      </c>
      <c r="M46" s="1"/>
      <c r="N46" s="7">
        <f t="shared" si="5"/>
        <v>0.8</v>
      </c>
      <c r="O46" s="1">
        <f t="shared" si="1"/>
        <v>0.8</v>
      </c>
      <c r="P46" s="140" t="e">
        <f t="shared" si="2"/>
        <v>#DIV/0!</v>
      </c>
    </row>
    <row r="47" spans="1:16" ht="43.5" customHeight="1">
      <c r="A47" s="121"/>
      <c r="B47" s="343" t="s">
        <v>433</v>
      </c>
      <c r="C47" s="344"/>
      <c r="D47" s="345"/>
      <c r="E47" s="7"/>
      <c r="F47" s="7"/>
      <c r="G47" s="7"/>
      <c r="H47" s="7"/>
      <c r="I47" s="7"/>
      <c r="J47" s="7"/>
      <c r="K47" s="34"/>
      <c r="L47" s="34">
        <v>1.9</v>
      </c>
      <c r="M47" s="1"/>
      <c r="N47" s="7">
        <f t="shared" si="5"/>
        <v>1.9</v>
      </c>
      <c r="O47" s="1">
        <f t="shared" si="1"/>
        <v>1.9</v>
      </c>
      <c r="P47" s="140" t="e">
        <f t="shared" si="2"/>
        <v>#DIV/0!</v>
      </c>
    </row>
    <row r="48" spans="1:16" ht="25.5" customHeight="1">
      <c r="A48" s="121"/>
      <c r="B48" s="343" t="s">
        <v>434</v>
      </c>
      <c r="C48" s="344"/>
      <c r="D48" s="345"/>
      <c r="E48" s="7"/>
      <c r="F48" s="7"/>
      <c r="G48" s="7"/>
      <c r="H48" s="7"/>
      <c r="I48" s="7"/>
      <c r="J48" s="7"/>
      <c r="K48" s="34"/>
      <c r="L48" s="34">
        <v>4.5</v>
      </c>
      <c r="M48" s="1"/>
      <c r="N48" s="7">
        <f t="shared" si="5"/>
        <v>4.5</v>
      </c>
      <c r="O48" s="1">
        <f t="shared" si="1"/>
        <v>4.5</v>
      </c>
      <c r="P48" s="140" t="e">
        <f t="shared" si="2"/>
        <v>#DIV/0!</v>
      </c>
    </row>
    <row r="49" spans="1:16" ht="43.5" customHeight="1">
      <c r="A49" s="121"/>
      <c r="B49" s="343" t="s">
        <v>435</v>
      </c>
      <c r="C49" s="344"/>
      <c r="D49" s="345"/>
      <c r="E49" s="7"/>
      <c r="F49" s="7"/>
      <c r="G49" s="7"/>
      <c r="H49" s="7"/>
      <c r="I49" s="7"/>
      <c r="J49" s="7"/>
      <c r="K49" s="34"/>
      <c r="L49" s="34">
        <v>2.5</v>
      </c>
      <c r="M49" s="1"/>
      <c r="N49" s="7">
        <f t="shared" si="5"/>
        <v>2.5</v>
      </c>
      <c r="O49" s="1">
        <f t="shared" si="1"/>
        <v>2.5</v>
      </c>
      <c r="P49" s="140" t="e">
        <f t="shared" si="2"/>
        <v>#DIV/0!</v>
      </c>
    </row>
    <row r="50" spans="1:16" ht="33" customHeight="1">
      <c r="A50" s="121"/>
      <c r="B50" s="343" t="s">
        <v>436</v>
      </c>
      <c r="C50" s="344"/>
      <c r="D50" s="345"/>
      <c r="E50" s="7"/>
      <c r="F50" s="7"/>
      <c r="G50" s="7"/>
      <c r="H50" s="7"/>
      <c r="I50" s="7"/>
      <c r="J50" s="7"/>
      <c r="K50" s="34"/>
      <c r="L50" s="34">
        <v>2.1</v>
      </c>
      <c r="M50" s="1"/>
      <c r="N50" s="7">
        <f t="shared" si="5"/>
        <v>2.1</v>
      </c>
      <c r="O50" s="1">
        <f t="shared" si="1"/>
        <v>2.1</v>
      </c>
      <c r="P50" s="140" t="e">
        <f t="shared" si="2"/>
        <v>#DIV/0!</v>
      </c>
    </row>
    <row r="51" spans="1:16" ht="34.5" customHeight="1">
      <c r="A51" s="121"/>
      <c r="B51" s="343" t="s">
        <v>437</v>
      </c>
      <c r="C51" s="344"/>
      <c r="D51" s="345"/>
      <c r="E51" s="7"/>
      <c r="F51" s="7"/>
      <c r="G51" s="7"/>
      <c r="H51" s="7"/>
      <c r="I51" s="7"/>
      <c r="J51" s="7"/>
      <c r="K51" s="34"/>
      <c r="L51" s="34">
        <v>12</v>
      </c>
      <c r="M51" s="1"/>
      <c r="N51" s="7">
        <f t="shared" si="5"/>
        <v>12</v>
      </c>
      <c r="O51" s="1">
        <f t="shared" si="1"/>
        <v>12</v>
      </c>
      <c r="P51" s="140" t="e">
        <f t="shared" si="2"/>
        <v>#DIV/0!</v>
      </c>
    </row>
    <row r="52" spans="1:16" ht="30" customHeight="1">
      <c r="A52" s="121"/>
      <c r="B52" s="343" t="s">
        <v>438</v>
      </c>
      <c r="C52" s="344"/>
      <c r="D52" s="345"/>
      <c r="E52" s="7"/>
      <c r="F52" s="7"/>
      <c r="G52" s="7"/>
      <c r="H52" s="7"/>
      <c r="I52" s="7"/>
      <c r="J52" s="7"/>
      <c r="K52" s="34"/>
      <c r="L52" s="34">
        <v>12.4</v>
      </c>
      <c r="M52" s="1"/>
      <c r="N52" s="7">
        <f t="shared" si="5"/>
        <v>12.4</v>
      </c>
      <c r="O52" s="1">
        <f t="shared" si="1"/>
        <v>12.4</v>
      </c>
      <c r="P52" s="140" t="e">
        <f t="shared" si="2"/>
        <v>#DIV/0!</v>
      </c>
    </row>
    <row r="53" spans="1:16" ht="43.5" customHeight="1">
      <c r="A53" s="121"/>
      <c r="B53" s="343" t="s">
        <v>439</v>
      </c>
      <c r="C53" s="344"/>
      <c r="D53" s="345"/>
      <c r="E53" s="7"/>
      <c r="F53" s="7"/>
      <c r="G53" s="7"/>
      <c r="H53" s="7"/>
      <c r="I53" s="7"/>
      <c r="J53" s="7"/>
      <c r="K53" s="34"/>
      <c r="L53" s="34">
        <v>14.3</v>
      </c>
      <c r="M53" s="1"/>
      <c r="N53" s="7">
        <f t="shared" si="5"/>
        <v>14.3</v>
      </c>
      <c r="O53" s="1">
        <f t="shared" si="1"/>
        <v>14.3</v>
      </c>
      <c r="P53" s="140" t="e">
        <f t="shared" si="2"/>
        <v>#DIV/0!</v>
      </c>
    </row>
    <row r="54" spans="1:16" ht="43.5" customHeight="1">
      <c r="A54" s="121"/>
      <c r="B54" s="343" t="s">
        <v>440</v>
      </c>
      <c r="C54" s="344"/>
      <c r="D54" s="345"/>
      <c r="E54" s="7"/>
      <c r="F54" s="7"/>
      <c r="G54" s="7"/>
      <c r="H54" s="7"/>
      <c r="I54" s="7"/>
      <c r="J54" s="7"/>
      <c r="K54" s="34"/>
      <c r="L54" s="34">
        <v>19.7</v>
      </c>
      <c r="M54" s="1"/>
      <c r="N54" s="7">
        <f t="shared" si="5"/>
        <v>19.7</v>
      </c>
      <c r="O54" s="1">
        <f t="shared" si="1"/>
        <v>19.7</v>
      </c>
      <c r="P54" s="140" t="e">
        <f t="shared" si="2"/>
        <v>#DIV/0!</v>
      </c>
    </row>
    <row r="55" spans="1:16" ht="27" customHeight="1">
      <c r="A55" s="121"/>
      <c r="B55" s="343" t="s">
        <v>441</v>
      </c>
      <c r="C55" s="344"/>
      <c r="D55" s="345"/>
      <c r="E55" s="7"/>
      <c r="F55" s="7"/>
      <c r="G55" s="7"/>
      <c r="H55" s="7"/>
      <c r="I55" s="7"/>
      <c r="J55" s="7"/>
      <c r="K55" s="34"/>
      <c r="L55" s="34">
        <v>2.7</v>
      </c>
      <c r="M55" s="1"/>
      <c r="N55" s="7">
        <f t="shared" si="5"/>
        <v>2.7</v>
      </c>
      <c r="O55" s="1">
        <f t="shared" si="1"/>
        <v>2.7</v>
      </c>
      <c r="P55" s="140" t="e">
        <f t="shared" si="2"/>
        <v>#DIV/0!</v>
      </c>
    </row>
    <row r="56" spans="1:16" ht="30" customHeight="1">
      <c r="A56" s="121"/>
      <c r="B56" s="343" t="s">
        <v>442</v>
      </c>
      <c r="C56" s="344"/>
      <c r="D56" s="345"/>
      <c r="E56" s="7"/>
      <c r="F56" s="7"/>
      <c r="G56" s="7"/>
      <c r="H56" s="7"/>
      <c r="I56" s="7"/>
      <c r="J56" s="7"/>
      <c r="K56" s="34"/>
      <c r="L56" s="34">
        <v>2.1</v>
      </c>
      <c r="M56" s="1"/>
      <c r="N56" s="7">
        <f t="shared" si="5"/>
        <v>2.1</v>
      </c>
      <c r="O56" s="1">
        <f t="shared" si="1"/>
        <v>2.1</v>
      </c>
      <c r="P56" s="140" t="e">
        <f t="shared" si="2"/>
        <v>#DIV/0!</v>
      </c>
    </row>
    <row r="57" spans="1:16" ht="28.5" customHeight="1">
      <c r="A57" s="121"/>
      <c r="B57" s="343" t="s">
        <v>443</v>
      </c>
      <c r="C57" s="344"/>
      <c r="D57" s="345"/>
      <c r="E57" s="7"/>
      <c r="F57" s="7"/>
      <c r="G57" s="7"/>
      <c r="H57" s="7"/>
      <c r="I57" s="7"/>
      <c r="J57" s="7"/>
      <c r="K57" s="34"/>
      <c r="L57" s="34">
        <v>6.4</v>
      </c>
      <c r="M57" s="1"/>
      <c r="N57" s="7">
        <f t="shared" si="5"/>
        <v>6.4</v>
      </c>
      <c r="O57" s="1">
        <f t="shared" si="1"/>
        <v>6.4</v>
      </c>
      <c r="P57" s="140" t="e">
        <f t="shared" si="2"/>
        <v>#DIV/0!</v>
      </c>
    </row>
    <row r="58" spans="1:16" ht="30" customHeight="1">
      <c r="A58" s="121"/>
      <c r="B58" s="343" t="s">
        <v>444</v>
      </c>
      <c r="C58" s="344"/>
      <c r="D58" s="345"/>
      <c r="E58" s="7"/>
      <c r="F58" s="7"/>
      <c r="G58" s="7"/>
      <c r="H58" s="7"/>
      <c r="I58" s="7"/>
      <c r="J58" s="7"/>
      <c r="K58" s="34"/>
      <c r="L58" s="34">
        <v>1.5</v>
      </c>
      <c r="M58" s="1"/>
      <c r="N58" s="7">
        <f t="shared" si="5"/>
        <v>1.5</v>
      </c>
      <c r="O58" s="1">
        <f t="shared" si="1"/>
        <v>1.5</v>
      </c>
      <c r="P58" s="140" t="e">
        <f t="shared" si="2"/>
        <v>#DIV/0!</v>
      </c>
    </row>
    <row r="59" spans="1:16" ht="30" customHeight="1">
      <c r="A59" s="121"/>
      <c r="B59" s="343" t="s">
        <v>445</v>
      </c>
      <c r="C59" s="344"/>
      <c r="D59" s="345"/>
      <c r="E59" s="7"/>
      <c r="F59" s="7"/>
      <c r="G59" s="7"/>
      <c r="H59" s="7"/>
      <c r="I59" s="7"/>
      <c r="J59" s="7"/>
      <c r="K59" s="34"/>
      <c r="L59" s="34">
        <v>8</v>
      </c>
      <c r="M59" s="1"/>
      <c r="N59" s="7">
        <f t="shared" si="5"/>
        <v>8</v>
      </c>
      <c r="O59" s="1">
        <f t="shared" si="1"/>
        <v>8</v>
      </c>
      <c r="P59" s="140" t="e">
        <f t="shared" si="2"/>
        <v>#DIV/0!</v>
      </c>
    </row>
    <row r="60" spans="1:16" ht="30" customHeight="1">
      <c r="A60" s="121"/>
      <c r="B60" s="343" t="s">
        <v>446</v>
      </c>
      <c r="C60" s="344"/>
      <c r="D60" s="345"/>
      <c r="E60" s="7"/>
      <c r="F60" s="7"/>
      <c r="G60" s="7"/>
      <c r="H60" s="7"/>
      <c r="I60" s="7"/>
      <c r="J60" s="7"/>
      <c r="K60" s="34"/>
      <c r="L60" s="34">
        <v>17.600000000000001</v>
      </c>
      <c r="M60" s="1"/>
      <c r="N60" s="7">
        <f t="shared" si="5"/>
        <v>17.600000000000001</v>
      </c>
      <c r="O60" s="1">
        <f t="shared" si="1"/>
        <v>17.600000000000001</v>
      </c>
      <c r="P60" s="140" t="e">
        <f t="shared" si="2"/>
        <v>#DIV/0!</v>
      </c>
    </row>
    <row r="61" spans="1:16" ht="25.5" customHeight="1">
      <c r="A61" s="121"/>
      <c r="B61" s="343" t="s">
        <v>473</v>
      </c>
      <c r="C61" s="344"/>
      <c r="D61" s="345"/>
      <c r="E61" s="7"/>
      <c r="F61" s="7"/>
      <c r="G61" s="7"/>
      <c r="H61" s="7"/>
      <c r="I61" s="7"/>
      <c r="J61" s="7"/>
      <c r="K61" s="34"/>
      <c r="L61" s="34">
        <v>98.7</v>
      </c>
      <c r="M61" s="1"/>
      <c r="N61" s="7">
        <f t="shared" si="5"/>
        <v>98.7</v>
      </c>
      <c r="O61" s="1">
        <f t="shared" si="1"/>
        <v>98.7</v>
      </c>
      <c r="P61" s="140" t="e">
        <f t="shared" si="2"/>
        <v>#DIV/0!</v>
      </c>
    </row>
    <row r="62" spans="1:16" ht="43.5" customHeight="1">
      <c r="A62" s="121"/>
      <c r="B62" s="343" t="s">
        <v>448</v>
      </c>
      <c r="C62" s="344"/>
      <c r="D62" s="345"/>
      <c r="E62" s="7"/>
      <c r="F62" s="7"/>
      <c r="G62" s="7"/>
      <c r="H62" s="7"/>
      <c r="I62" s="7"/>
      <c r="J62" s="7"/>
      <c r="K62" s="34"/>
      <c r="L62" s="34">
        <v>5</v>
      </c>
      <c r="M62" s="1"/>
      <c r="N62" s="7">
        <f t="shared" si="5"/>
        <v>5</v>
      </c>
      <c r="O62" s="1">
        <f t="shared" si="1"/>
        <v>5</v>
      </c>
      <c r="P62" s="140" t="e">
        <f t="shared" si="2"/>
        <v>#DIV/0!</v>
      </c>
    </row>
    <row r="63" spans="1:16" ht="28.5" customHeight="1">
      <c r="A63" s="121"/>
      <c r="B63" s="343" t="s">
        <v>449</v>
      </c>
      <c r="C63" s="344"/>
      <c r="D63" s="345"/>
      <c r="E63" s="7"/>
      <c r="F63" s="7"/>
      <c r="G63" s="7"/>
      <c r="H63" s="7"/>
      <c r="I63" s="7"/>
      <c r="J63" s="7"/>
      <c r="K63" s="34"/>
      <c r="L63" s="34">
        <v>5</v>
      </c>
      <c r="M63" s="1"/>
      <c r="N63" s="7">
        <f t="shared" si="5"/>
        <v>5</v>
      </c>
      <c r="O63" s="1">
        <f t="shared" si="1"/>
        <v>5</v>
      </c>
      <c r="P63" s="140" t="e">
        <f t="shared" si="2"/>
        <v>#DIV/0!</v>
      </c>
    </row>
    <row r="64" spans="1:16" ht="24" customHeight="1">
      <c r="A64" s="121"/>
      <c r="B64" s="343" t="s">
        <v>450</v>
      </c>
      <c r="C64" s="344"/>
      <c r="D64" s="345"/>
      <c r="E64" s="7"/>
      <c r="F64" s="7"/>
      <c r="G64" s="7"/>
      <c r="H64" s="7"/>
      <c r="I64" s="7"/>
      <c r="J64" s="7"/>
      <c r="K64" s="34"/>
      <c r="L64" s="34">
        <v>0.3</v>
      </c>
      <c r="M64" s="1"/>
      <c r="N64" s="7">
        <f t="shared" si="5"/>
        <v>0.3</v>
      </c>
      <c r="O64" s="1">
        <f t="shared" si="1"/>
        <v>0.3</v>
      </c>
      <c r="P64" s="140" t="e">
        <f t="shared" si="2"/>
        <v>#DIV/0!</v>
      </c>
    </row>
    <row r="65" spans="1:16" ht="28.5" customHeight="1">
      <c r="A65" s="121"/>
      <c r="B65" s="355" t="s">
        <v>451</v>
      </c>
      <c r="C65" s="356"/>
      <c r="D65" s="357"/>
      <c r="E65" s="7"/>
      <c r="F65" s="7"/>
      <c r="G65" s="7"/>
      <c r="H65" s="7"/>
      <c r="I65" s="7"/>
      <c r="J65" s="7"/>
      <c r="K65" s="34"/>
      <c r="L65" s="34">
        <v>2.8</v>
      </c>
      <c r="M65" s="1"/>
      <c r="N65" s="7">
        <f t="shared" si="5"/>
        <v>2.8</v>
      </c>
      <c r="O65" s="1">
        <f t="shared" si="1"/>
        <v>2.8</v>
      </c>
      <c r="P65" s="140" t="e">
        <f t="shared" si="2"/>
        <v>#DIV/0!</v>
      </c>
    </row>
    <row r="66" spans="1:16" ht="30" customHeight="1">
      <c r="A66" s="121"/>
      <c r="B66" s="343" t="s">
        <v>452</v>
      </c>
      <c r="C66" s="344"/>
      <c r="D66" s="345"/>
      <c r="E66" s="7"/>
      <c r="F66" s="7"/>
      <c r="G66" s="7"/>
      <c r="H66" s="7"/>
      <c r="I66" s="7"/>
      <c r="J66" s="7"/>
      <c r="K66" s="34"/>
      <c r="L66" s="34">
        <v>3</v>
      </c>
      <c r="M66" s="1"/>
      <c r="N66" s="7">
        <f t="shared" si="5"/>
        <v>3</v>
      </c>
      <c r="O66" s="1">
        <f t="shared" si="1"/>
        <v>3</v>
      </c>
      <c r="P66" s="140" t="e">
        <f t="shared" si="2"/>
        <v>#DIV/0!</v>
      </c>
    </row>
    <row r="67" spans="1:16" ht="25.5" customHeight="1">
      <c r="A67" s="121"/>
      <c r="B67" s="343" t="s">
        <v>453</v>
      </c>
      <c r="C67" s="344"/>
      <c r="D67" s="345"/>
      <c r="E67" s="7"/>
      <c r="F67" s="7"/>
      <c r="G67" s="7"/>
      <c r="H67" s="7"/>
      <c r="I67" s="7"/>
      <c r="J67" s="7"/>
      <c r="K67" s="34"/>
      <c r="L67" s="34">
        <v>0.5</v>
      </c>
      <c r="M67" s="1"/>
      <c r="N67" s="7">
        <f t="shared" si="5"/>
        <v>0.5</v>
      </c>
      <c r="O67" s="1">
        <f t="shared" si="1"/>
        <v>0.5</v>
      </c>
      <c r="P67" s="140" t="e">
        <f t="shared" si="2"/>
        <v>#DIV/0!</v>
      </c>
    </row>
    <row r="68" spans="1:16" ht="27" customHeight="1">
      <c r="A68" s="121"/>
      <c r="B68" s="343" t="s">
        <v>454</v>
      </c>
      <c r="C68" s="344"/>
      <c r="D68" s="345"/>
      <c r="E68" s="7"/>
      <c r="F68" s="7"/>
      <c r="G68" s="7"/>
      <c r="H68" s="7"/>
      <c r="I68" s="7"/>
      <c r="J68" s="7"/>
      <c r="K68" s="34"/>
      <c r="L68" s="34">
        <v>45</v>
      </c>
      <c r="M68" s="1"/>
      <c r="N68" s="7">
        <f t="shared" si="5"/>
        <v>45</v>
      </c>
      <c r="O68" s="1">
        <f t="shared" si="1"/>
        <v>45</v>
      </c>
      <c r="P68" s="140" t="e">
        <f t="shared" si="2"/>
        <v>#DIV/0!</v>
      </c>
    </row>
    <row r="69" spans="1:16" ht="30" customHeight="1">
      <c r="A69" s="121"/>
      <c r="B69" s="343" t="s">
        <v>455</v>
      </c>
      <c r="C69" s="344"/>
      <c r="D69" s="345"/>
      <c r="E69" s="7"/>
      <c r="F69" s="7"/>
      <c r="G69" s="7"/>
      <c r="H69" s="7"/>
      <c r="I69" s="7"/>
      <c r="J69" s="7"/>
      <c r="K69" s="34"/>
      <c r="L69" s="34">
        <v>108</v>
      </c>
      <c r="M69" s="1"/>
      <c r="N69" s="7">
        <f t="shared" si="5"/>
        <v>108</v>
      </c>
      <c r="O69" s="1">
        <f t="shared" si="1"/>
        <v>108</v>
      </c>
      <c r="P69" s="140" t="e">
        <f t="shared" si="2"/>
        <v>#DIV/0!</v>
      </c>
    </row>
    <row r="70" spans="1:16" ht="43.5" customHeight="1">
      <c r="A70" s="121"/>
      <c r="B70" s="343" t="s">
        <v>456</v>
      </c>
      <c r="C70" s="344"/>
      <c r="D70" s="345"/>
      <c r="E70" s="7"/>
      <c r="F70" s="7"/>
      <c r="G70" s="7"/>
      <c r="H70" s="7"/>
      <c r="I70" s="7"/>
      <c r="J70" s="7"/>
      <c r="K70" s="34"/>
      <c r="L70" s="34">
        <v>39</v>
      </c>
      <c r="M70" s="1"/>
      <c r="N70" s="7">
        <f t="shared" si="5"/>
        <v>39</v>
      </c>
      <c r="O70" s="1">
        <f t="shared" si="1"/>
        <v>39</v>
      </c>
      <c r="P70" s="140" t="e">
        <f t="shared" si="2"/>
        <v>#DIV/0!</v>
      </c>
    </row>
    <row r="71" spans="1:16" ht="27" customHeight="1">
      <c r="A71" s="121"/>
      <c r="B71" s="343" t="s">
        <v>457</v>
      </c>
      <c r="C71" s="344"/>
      <c r="D71" s="345"/>
      <c r="E71" s="7"/>
      <c r="F71" s="7"/>
      <c r="G71" s="7"/>
      <c r="H71" s="7"/>
      <c r="I71" s="7"/>
      <c r="J71" s="7"/>
      <c r="K71" s="34"/>
      <c r="L71" s="34">
        <v>3</v>
      </c>
      <c r="M71" s="1"/>
      <c r="N71" s="7">
        <f t="shared" si="5"/>
        <v>3</v>
      </c>
      <c r="O71" s="1">
        <f t="shared" si="1"/>
        <v>3</v>
      </c>
      <c r="P71" s="140" t="e">
        <f t="shared" si="2"/>
        <v>#DIV/0!</v>
      </c>
    </row>
    <row r="72" spans="1:16" ht="43.5" customHeight="1">
      <c r="A72" s="121"/>
      <c r="B72" s="343" t="s">
        <v>458</v>
      </c>
      <c r="C72" s="344"/>
      <c r="D72" s="345"/>
      <c r="E72" s="7"/>
      <c r="F72" s="7"/>
      <c r="G72" s="7"/>
      <c r="H72" s="7"/>
      <c r="I72" s="7"/>
      <c r="J72" s="7"/>
      <c r="K72" s="34"/>
      <c r="L72" s="34">
        <v>4</v>
      </c>
      <c r="M72" s="1"/>
      <c r="N72" s="7">
        <f t="shared" si="5"/>
        <v>4</v>
      </c>
      <c r="O72" s="1">
        <f t="shared" ref="O72:O86" si="6">N72-M72</f>
        <v>4</v>
      </c>
      <c r="P72" s="140" t="e">
        <f t="shared" ref="P72:P86" si="7">(N72/M72)*100</f>
        <v>#DIV/0!</v>
      </c>
    </row>
    <row r="73" spans="1:16" ht="28.5" customHeight="1">
      <c r="A73" s="121"/>
      <c r="B73" s="343" t="s">
        <v>459</v>
      </c>
      <c r="C73" s="344"/>
      <c r="D73" s="345"/>
      <c r="E73" s="7"/>
      <c r="F73" s="7"/>
      <c r="G73" s="7"/>
      <c r="H73" s="7"/>
      <c r="I73" s="7"/>
      <c r="J73" s="7"/>
      <c r="K73" s="34"/>
      <c r="L73" s="34">
        <v>0.8</v>
      </c>
      <c r="M73" s="1"/>
      <c r="N73" s="7">
        <f t="shared" si="5"/>
        <v>0.8</v>
      </c>
      <c r="O73" s="1">
        <f t="shared" si="6"/>
        <v>0.8</v>
      </c>
      <c r="P73" s="140" t="e">
        <f t="shared" si="7"/>
        <v>#DIV/0!</v>
      </c>
    </row>
    <row r="74" spans="1:16" ht="28.5" customHeight="1">
      <c r="A74" s="121"/>
      <c r="B74" s="343" t="s">
        <v>460</v>
      </c>
      <c r="C74" s="344"/>
      <c r="D74" s="345"/>
      <c r="E74" s="7"/>
      <c r="F74" s="7"/>
      <c r="G74" s="7"/>
      <c r="H74" s="7"/>
      <c r="I74" s="7"/>
      <c r="J74" s="7"/>
      <c r="K74" s="34"/>
      <c r="L74" s="34">
        <v>11.8</v>
      </c>
      <c r="M74" s="1"/>
      <c r="N74" s="7">
        <f t="shared" si="5"/>
        <v>11.8</v>
      </c>
      <c r="O74" s="1">
        <f t="shared" si="6"/>
        <v>11.8</v>
      </c>
      <c r="P74" s="140" t="e">
        <f t="shared" si="7"/>
        <v>#DIV/0!</v>
      </c>
    </row>
    <row r="75" spans="1:16" ht="28.5" customHeight="1">
      <c r="A75" s="121"/>
      <c r="B75" s="343" t="s">
        <v>461</v>
      </c>
      <c r="C75" s="344"/>
      <c r="D75" s="345"/>
      <c r="E75" s="7"/>
      <c r="F75" s="7"/>
      <c r="G75" s="7"/>
      <c r="H75" s="7"/>
      <c r="I75" s="7"/>
      <c r="J75" s="7"/>
      <c r="K75" s="34"/>
      <c r="L75" s="34">
        <v>7.4</v>
      </c>
      <c r="M75" s="1"/>
      <c r="N75" s="7">
        <f t="shared" si="5"/>
        <v>7.4</v>
      </c>
      <c r="O75" s="1">
        <f t="shared" si="6"/>
        <v>7.4</v>
      </c>
      <c r="P75" s="140" t="e">
        <f t="shared" si="7"/>
        <v>#DIV/0!</v>
      </c>
    </row>
    <row r="76" spans="1:16" ht="31.5" customHeight="1">
      <c r="A76" s="121"/>
      <c r="B76" s="343" t="s">
        <v>462</v>
      </c>
      <c r="C76" s="344"/>
      <c r="D76" s="345"/>
      <c r="E76" s="7"/>
      <c r="F76" s="7"/>
      <c r="G76" s="7"/>
      <c r="H76" s="7"/>
      <c r="I76" s="7"/>
      <c r="J76" s="7"/>
      <c r="K76" s="34"/>
      <c r="L76" s="34">
        <v>4</v>
      </c>
      <c r="M76" s="1"/>
      <c r="N76" s="7">
        <f t="shared" si="5"/>
        <v>4</v>
      </c>
      <c r="O76" s="1">
        <f t="shared" si="6"/>
        <v>4</v>
      </c>
      <c r="P76" s="140" t="e">
        <f t="shared" si="7"/>
        <v>#DIV/0!</v>
      </c>
    </row>
    <row r="77" spans="1:16" ht="31.5" customHeight="1">
      <c r="A77" s="121"/>
      <c r="B77" s="343" t="s">
        <v>438</v>
      </c>
      <c r="C77" s="344"/>
      <c r="D77" s="345"/>
      <c r="E77" s="7"/>
      <c r="F77" s="7"/>
      <c r="G77" s="7"/>
      <c r="H77" s="7"/>
      <c r="I77" s="7"/>
      <c r="J77" s="7"/>
      <c r="K77" s="34"/>
      <c r="L77" s="34">
        <v>6</v>
      </c>
      <c r="M77" s="1"/>
      <c r="N77" s="7">
        <f t="shared" si="5"/>
        <v>6</v>
      </c>
      <c r="O77" s="1">
        <f t="shared" si="6"/>
        <v>6</v>
      </c>
      <c r="P77" s="140" t="e">
        <f t="shared" si="7"/>
        <v>#DIV/0!</v>
      </c>
    </row>
    <row r="78" spans="1:16" ht="30" customHeight="1">
      <c r="A78" s="121"/>
      <c r="B78" s="343" t="s">
        <v>467</v>
      </c>
      <c r="C78" s="344"/>
      <c r="D78" s="345"/>
      <c r="E78" s="7"/>
      <c r="F78" s="7"/>
      <c r="G78" s="7"/>
      <c r="H78" s="7"/>
      <c r="I78" s="7"/>
      <c r="J78" s="7"/>
      <c r="K78" s="34"/>
      <c r="L78" s="34">
        <v>1.2</v>
      </c>
      <c r="M78" s="1"/>
      <c r="N78" s="7">
        <f t="shared" si="5"/>
        <v>1.2</v>
      </c>
      <c r="O78" s="1">
        <f t="shared" si="6"/>
        <v>1.2</v>
      </c>
      <c r="P78" s="140" t="e">
        <f t="shared" si="7"/>
        <v>#DIV/0!</v>
      </c>
    </row>
    <row r="79" spans="1:16" ht="30" customHeight="1">
      <c r="A79" s="121"/>
      <c r="B79" s="343" t="s">
        <v>468</v>
      </c>
      <c r="C79" s="344"/>
      <c r="D79" s="345"/>
      <c r="E79" s="7"/>
      <c r="F79" s="7"/>
      <c r="G79" s="7"/>
      <c r="H79" s="7"/>
      <c r="I79" s="7"/>
      <c r="J79" s="7"/>
      <c r="K79" s="34"/>
      <c r="L79" s="34">
        <v>3.2</v>
      </c>
      <c r="M79" s="1"/>
      <c r="N79" s="7">
        <f t="shared" si="5"/>
        <v>3.2</v>
      </c>
      <c r="O79" s="1">
        <f t="shared" si="6"/>
        <v>3.2</v>
      </c>
      <c r="P79" s="140" t="e">
        <f t="shared" si="7"/>
        <v>#DIV/0!</v>
      </c>
    </row>
    <row r="80" spans="1:16" ht="34.5" customHeight="1">
      <c r="A80" s="121"/>
      <c r="B80" s="343" t="s">
        <v>469</v>
      </c>
      <c r="C80" s="344"/>
      <c r="D80" s="345"/>
      <c r="E80" s="7"/>
      <c r="F80" s="7"/>
      <c r="G80" s="7"/>
      <c r="H80" s="7"/>
      <c r="I80" s="7"/>
      <c r="J80" s="7"/>
      <c r="K80" s="34"/>
      <c r="L80" s="34">
        <v>2.8</v>
      </c>
      <c r="M80" s="1"/>
      <c r="N80" s="7">
        <f t="shared" si="5"/>
        <v>2.8</v>
      </c>
      <c r="O80" s="1">
        <f t="shared" si="6"/>
        <v>2.8</v>
      </c>
      <c r="P80" s="140" t="e">
        <f t="shared" si="7"/>
        <v>#DIV/0!</v>
      </c>
    </row>
    <row r="81" spans="1:16" ht="31.5" customHeight="1">
      <c r="A81" s="121"/>
      <c r="B81" s="343" t="s">
        <v>470</v>
      </c>
      <c r="C81" s="344"/>
      <c r="D81" s="345"/>
      <c r="E81" s="7"/>
      <c r="F81" s="7"/>
      <c r="G81" s="7"/>
      <c r="H81" s="7">
        <v>5.9</v>
      </c>
      <c r="I81" s="7"/>
      <c r="J81" s="7"/>
      <c r="K81" s="34"/>
      <c r="L81" s="34"/>
      <c r="M81" s="1"/>
      <c r="N81" s="7">
        <f t="shared" si="5"/>
        <v>5.9</v>
      </c>
      <c r="O81" s="1">
        <f t="shared" si="6"/>
        <v>5.9</v>
      </c>
      <c r="P81" s="140" t="e">
        <f t="shared" si="7"/>
        <v>#DIV/0!</v>
      </c>
    </row>
    <row r="82" spans="1:16" ht="30" customHeight="1">
      <c r="A82" s="121"/>
      <c r="B82" s="343" t="s">
        <v>471</v>
      </c>
      <c r="C82" s="344"/>
      <c r="D82" s="345"/>
      <c r="E82" s="7"/>
      <c r="F82" s="7"/>
      <c r="G82" s="7"/>
      <c r="H82" s="7">
        <v>22.3</v>
      </c>
      <c r="I82" s="7"/>
      <c r="J82" s="7"/>
      <c r="K82" s="34"/>
      <c r="L82" s="34"/>
      <c r="M82" s="1"/>
      <c r="N82" s="7">
        <f t="shared" si="5"/>
        <v>22.3</v>
      </c>
      <c r="O82" s="1">
        <f t="shared" si="6"/>
        <v>22.3</v>
      </c>
      <c r="P82" s="140" t="e">
        <f t="shared" si="7"/>
        <v>#DIV/0!</v>
      </c>
    </row>
    <row r="83" spans="1:16" ht="34.5" customHeight="1">
      <c r="A83" s="121"/>
      <c r="B83" s="343" t="s">
        <v>472</v>
      </c>
      <c r="C83" s="344"/>
      <c r="D83" s="345"/>
      <c r="E83" s="7"/>
      <c r="F83" s="7"/>
      <c r="G83" s="7"/>
      <c r="H83" s="7">
        <v>38.200000000000003</v>
      </c>
      <c r="I83" s="7"/>
      <c r="J83" s="7"/>
      <c r="K83" s="34"/>
      <c r="L83" s="34"/>
      <c r="M83" s="1"/>
      <c r="N83" s="7">
        <f t="shared" si="5"/>
        <v>38.200000000000003</v>
      </c>
      <c r="O83" s="1">
        <f t="shared" si="6"/>
        <v>38.200000000000003</v>
      </c>
      <c r="P83" s="140" t="e">
        <f t="shared" si="7"/>
        <v>#DIV/0!</v>
      </c>
    </row>
    <row r="84" spans="1:16" ht="46.5" customHeight="1">
      <c r="A84" s="8" t="s">
        <v>104</v>
      </c>
      <c r="B84" s="327" t="s">
        <v>96</v>
      </c>
      <c r="C84" s="328"/>
      <c r="D84" s="328"/>
      <c r="E84" s="1"/>
      <c r="F84" s="1"/>
      <c r="G84" s="1"/>
      <c r="H84" s="1"/>
      <c r="I84" s="1"/>
      <c r="J84" s="1">
        <f>J85</f>
        <v>464.9</v>
      </c>
      <c r="K84" s="33"/>
      <c r="L84" s="33"/>
      <c r="M84" s="1">
        <f t="shared" ref="M84:N86" si="8">E84+G84+I84+K84</f>
        <v>0</v>
      </c>
      <c r="N84" s="1">
        <f t="shared" si="8"/>
        <v>464.9</v>
      </c>
      <c r="O84" s="1">
        <f t="shared" si="6"/>
        <v>464.9</v>
      </c>
      <c r="P84" s="138" t="e">
        <f t="shared" si="7"/>
        <v>#DIV/0!</v>
      </c>
    </row>
    <row r="85" spans="1:16" ht="127.5" customHeight="1">
      <c r="A85" s="121"/>
      <c r="B85" s="331" t="s">
        <v>224</v>
      </c>
      <c r="C85" s="332"/>
      <c r="D85" s="333"/>
      <c r="E85" s="7"/>
      <c r="F85" s="7"/>
      <c r="G85" s="7"/>
      <c r="H85" s="7"/>
      <c r="I85" s="7"/>
      <c r="J85" s="7">
        <f>304.9+160</f>
        <v>464.9</v>
      </c>
      <c r="K85" s="34"/>
      <c r="L85" s="34"/>
      <c r="M85" s="1">
        <f t="shared" si="8"/>
        <v>0</v>
      </c>
      <c r="N85" s="7">
        <f t="shared" si="8"/>
        <v>464.9</v>
      </c>
      <c r="O85" s="1">
        <f t="shared" si="6"/>
        <v>464.9</v>
      </c>
      <c r="P85" s="140" t="e">
        <f t="shared" si="7"/>
        <v>#DIV/0!</v>
      </c>
    </row>
    <row r="86" spans="1:16" ht="40.5" customHeight="1">
      <c r="A86" s="329" t="s">
        <v>9</v>
      </c>
      <c r="B86" s="330"/>
      <c r="C86" s="330"/>
      <c r="D86" s="330"/>
      <c r="E86" s="1">
        <f t="shared" ref="E86:L86" si="9">E7+E24+E84</f>
        <v>0</v>
      </c>
      <c r="F86" s="1">
        <f t="shared" si="9"/>
        <v>0</v>
      </c>
      <c r="G86" s="1">
        <f t="shared" si="9"/>
        <v>0</v>
      </c>
      <c r="H86" s="1">
        <f t="shared" si="9"/>
        <v>66.400000000000006</v>
      </c>
      <c r="I86" s="1">
        <f t="shared" si="9"/>
        <v>0</v>
      </c>
      <c r="J86" s="1">
        <f t="shared" si="9"/>
        <v>4490.8999999999996</v>
      </c>
      <c r="K86" s="1">
        <f t="shared" si="9"/>
        <v>0</v>
      </c>
      <c r="L86" s="1">
        <f t="shared" si="9"/>
        <v>5510.9000000000005</v>
      </c>
      <c r="M86" s="1">
        <f t="shared" si="8"/>
        <v>0</v>
      </c>
      <c r="N86" s="1">
        <f t="shared" si="8"/>
        <v>10068.200000000001</v>
      </c>
      <c r="O86" s="1">
        <f t="shared" si="6"/>
        <v>10068.200000000001</v>
      </c>
      <c r="P86" s="138" t="e">
        <f t="shared" si="7"/>
        <v>#DIV/0!</v>
      </c>
    </row>
    <row r="87" spans="1:16" ht="20.100000000000001" customHeight="1">
      <c r="A87" s="35"/>
      <c r="B87" s="35"/>
      <c r="C87" s="36"/>
      <c r="D87" s="36"/>
      <c r="E87" s="36"/>
      <c r="F87" s="36"/>
      <c r="G87" s="36"/>
      <c r="H87" s="36"/>
      <c r="I87" s="36"/>
      <c r="J87" s="35"/>
      <c r="K87" s="36"/>
      <c r="L87" s="35"/>
      <c r="M87" s="28"/>
      <c r="N87" s="28"/>
      <c r="O87" s="28"/>
      <c r="P87" s="28"/>
    </row>
    <row r="88" spans="1:16" ht="20.100000000000001" customHeight="1">
      <c r="A88" s="37"/>
      <c r="B88" s="37"/>
      <c r="C88" s="38"/>
      <c r="D88" s="38"/>
      <c r="E88" s="38"/>
      <c r="F88" s="38"/>
      <c r="G88" s="38"/>
      <c r="H88" s="38"/>
      <c r="I88" s="38"/>
      <c r="J88" s="38"/>
      <c r="K88" s="28"/>
      <c r="L88" s="28"/>
      <c r="M88" s="28"/>
      <c r="N88" s="28"/>
      <c r="O88" s="28"/>
      <c r="P88" s="28"/>
    </row>
    <row r="89" spans="1:16" ht="20.100000000000001" customHeight="1">
      <c r="A89" s="37"/>
      <c r="B89" s="37"/>
      <c r="C89" s="38"/>
      <c r="D89" s="38"/>
      <c r="E89" s="38"/>
      <c r="F89" s="38"/>
      <c r="G89" s="38"/>
      <c r="H89" s="38"/>
      <c r="I89" s="38"/>
      <c r="J89" s="38"/>
      <c r="K89" s="28"/>
      <c r="L89" s="28"/>
      <c r="M89" s="28"/>
      <c r="N89" s="28"/>
      <c r="O89" s="28"/>
      <c r="P89" s="28"/>
    </row>
    <row r="90" spans="1:16" s="3" customFormat="1" ht="20.100000000000001" customHeight="1">
      <c r="A90" s="123"/>
      <c r="B90" s="123"/>
      <c r="C90" s="29"/>
      <c r="D90" s="29"/>
      <c r="E90" s="29"/>
      <c r="F90" s="29"/>
      <c r="G90" s="123"/>
      <c r="H90" s="123"/>
      <c r="I90" s="123"/>
      <c r="J90" s="123"/>
      <c r="K90" s="123"/>
      <c r="L90" s="123"/>
      <c r="M90" s="123"/>
      <c r="N90" s="123"/>
      <c r="O90" s="123"/>
      <c r="P90" s="123"/>
    </row>
    <row r="91" spans="1:16" s="41" customFormat="1" ht="49.5" customHeight="1">
      <c r="A91" s="39"/>
      <c r="B91" s="348" t="s">
        <v>546</v>
      </c>
      <c r="C91" s="349"/>
      <c r="D91" s="349"/>
      <c r="E91" s="122"/>
      <c r="F91" s="122"/>
      <c r="G91" s="350"/>
      <c r="H91" s="350"/>
      <c r="I91" s="350"/>
      <c r="J91" s="40"/>
      <c r="K91" s="325" t="s">
        <v>204</v>
      </c>
      <c r="L91" s="325"/>
      <c r="M91" s="325"/>
      <c r="N91" s="39"/>
      <c r="O91" s="39"/>
      <c r="P91" s="39"/>
    </row>
    <row r="92" spans="1:16" s="3" customFormat="1" ht="19.5" customHeight="1">
      <c r="A92" s="123"/>
      <c r="B92" s="351" t="s">
        <v>10</v>
      </c>
      <c r="C92" s="351"/>
      <c r="D92" s="351"/>
      <c r="E92" s="42"/>
      <c r="F92" s="42"/>
      <c r="G92" s="69"/>
      <c r="H92" s="70" t="s">
        <v>11</v>
      </c>
      <c r="I92" s="69"/>
      <c r="J92" s="42"/>
      <c r="K92" s="351" t="s">
        <v>17</v>
      </c>
      <c r="L92" s="351"/>
      <c r="M92" s="351"/>
      <c r="N92" s="123"/>
      <c r="O92" s="123"/>
      <c r="P92" s="123"/>
    </row>
    <row r="93" spans="1:16" ht="20.100000000000001" customHeight="1">
      <c r="A93" s="28"/>
      <c r="B93" s="43"/>
      <c r="C93" s="43"/>
      <c r="D93" s="43"/>
      <c r="E93" s="44"/>
      <c r="F93" s="44"/>
      <c r="G93" s="44"/>
      <c r="H93" s="44"/>
      <c r="I93" s="44"/>
      <c r="J93" s="44"/>
      <c r="K93" s="28"/>
      <c r="L93" s="28"/>
      <c r="M93" s="28"/>
      <c r="N93" s="28"/>
      <c r="O93" s="28"/>
      <c r="P93" s="28"/>
    </row>
    <row r="94" spans="1:16" ht="20.100000000000001" customHeight="1">
      <c r="A94" s="28"/>
      <c r="B94" s="43"/>
      <c r="C94" s="43"/>
      <c r="D94" s="43"/>
      <c r="E94" s="43"/>
      <c r="F94" s="43"/>
      <c r="G94" s="43"/>
      <c r="H94" s="43"/>
      <c r="I94" s="43"/>
      <c r="J94" s="43"/>
      <c r="K94" s="28"/>
      <c r="L94" s="28"/>
      <c r="M94" s="28"/>
      <c r="N94" s="28"/>
      <c r="O94" s="28"/>
      <c r="P94" s="28"/>
    </row>
    <row r="95" spans="1:16">
      <c r="A95" s="28"/>
      <c r="B95" s="43"/>
      <c r="C95" s="43"/>
      <c r="D95" s="43"/>
      <c r="E95" s="43"/>
      <c r="F95" s="43"/>
      <c r="G95" s="43"/>
      <c r="H95" s="43"/>
      <c r="I95" s="43"/>
      <c r="J95" s="43"/>
      <c r="K95" s="28"/>
      <c r="L95" s="28"/>
      <c r="M95" s="28"/>
      <c r="N95" s="28"/>
      <c r="O95" s="28"/>
      <c r="P95" s="28"/>
    </row>
    <row r="96" spans="1:16" s="347" customFormat="1" ht="19.149999999999999" customHeight="1">
      <c r="A96" s="346" t="s">
        <v>51</v>
      </c>
    </row>
    <row r="99" spans="2:2">
      <c r="B99" s="45"/>
    </row>
    <row r="100" spans="2:2">
      <c r="B100" s="45"/>
    </row>
    <row r="101" spans="2:2">
      <c r="B101" s="45"/>
    </row>
    <row r="102" spans="2:2">
      <c r="B102" s="45"/>
    </row>
    <row r="103" spans="2:2">
      <c r="B103" s="45"/>
    </row>
    <row r="104" spans="2:2">
      <c r="B104" s="45"/>
    </row>
    <row r="105" spans="2:2">
      <c r="B105" s="45"/>
    </row>
  </sheetData>
  <mergeCells count="95">
    <mergeCell ref="B83:D83"/>
    <mergeCell ref="B78:D78"/>
    <mergeCell ref="B79:D79"/>
    <mergeCell ref="B80:D80"/>
    <mergeCell ref="B81:D81"/>
    <mergeCell ref="B82:D82"/>
    <mergeCell ref="B73:D73"/>
    <mergeCell ref="B74:D74"/>
    <mergeCell ref="B75:D75"/>
    <mergeCell ref="B76:D76"/>
    <mergeCell ref="B77:D77"/>
    <mergeCell ref="B68:D68"/>
    <mergeCell ref="B69:D69"/>
    <mergeCell ref="B70:D70"/>
    <mergeCell ref="B71:D71"/>
    <mergeCell ref="B72:D72"/>
    <mergeCell ref="B63:D63"/>
    <mergeCell ref="B64:D64"/>
    <mergeCell ref="B65:D65"/>
    <mergeCell ref="B66:D66"/>
    <mergeCell ref="B67:D67"/>
    <mergeCell ref="B59:D59"/>
    <mergeCell ref="B58:D58"/>
    <mergeCell ref="B60:D60"/>
    <mergeCell ref="B61:D61"/>
    <mergeCell ref="B62:D62"/>
    <mergeCell ref="B53:D53"/>
    <mergeCell ref="B54:D54"/>
    <mergeCell ref="B55:D55"/>
    <mergeCell ref="B56:D56"/>
    <mergeCell ref="B57:D57"/>
    <mergeCell ref="B48:D48"/>
    <mergeCell ref="B49:D49"/>
    <mergeCell ref="B50:D50"/>
    <mergeCell ref="B51:D51"/>
    <mergeCell ref="B52:D52"/>
    <mergeCell ref="B37:D37"/>
    <mergeCell ref="B38:D38"/>
    <mergeCell ref="B39:D39"/>
    <mergeCell ref="B40:D40"/>
    <mergeCell ref="B25:D25"/>
    <mergeCell ref="A96:XFD96"/>
    <mergeCell ref="B91:D91"/>
    <mergeCell ref="G91:I91"/>
    <mergeCell ref="K91:M91"/>
    <mergeCell ref="K92:M92"/>
    <mergeCell ref="B92:D92"/>
    <mergeCell ref="B42:D42"/>
    <mergeCell ref="B43:D43"/>
    <mergeCell ref="B44:D44"/>
    <mergeCell ref="B45:D45"/>
    <mergeCell ref="M4:P4"/>
    <mergeCell ref="G4:H4"/>
    <mergeCell ref="B6:D6"/>
    <mergeCell ref="K4:L4"/>
    <mergeCell ref="I4:J4"/>
    <mergeCell ref="B4:D5"/>
    <mergeCell ref="E4:F4"/>
    <mergeCell ref="B20:D20"/>
    <mergeCell ref="B21:D21"/>
    <mergeCell ref="B22:D22"/>
    <mergeCell ref="B23:D23"/>
    <mergeCell ref="B41:D41"/>
    <mergeCell ref="B46:D46"/>
    <mergeCell ref="A4:A5"/>
    <mergeCell ref="B7:D7"/>
    <mergeCell ref="B11:D11"/>
    <mergeCell ref="B24:D24"/>
    <mergeCell ref="B10:D10"/>
    <mergeCell ref="B9:D9"/>
    <mergeCell ref="B8:D8"/>
    <mergeCell ref="B12:D12"/>
    <mergeCell ref="B13:D13"/>
    <mergeCell ref="B14:D14"/>
    <mergeCell ref="B15:D15"/>
    <mergeCell ref="B16:D16"/>
    <mergeCell ref="B17:D17"/>
    <mergeCell ref="B18:D18"/>
    <mergeCell ref="B19:D19"/>
    <mergeCell ref="E2:N2"/>
    <mergeCell ref="B84:D84"/>
    <mergeCell ref="A86:D86"/>
    <mergeCell ref="B85:D85"/>
    <mergeCell ref="B32:D32"/>
    <mergeCell ref="B26:D26"/>
    <mergeCell ref="B27:D27"/>
    <mergeCell ref="B28:D28"/>
    <mergeCell ref="B29:D29"/>
    <mergeCell ref="B33:D33"/>
    <mergeCell ref="B34:D34"/>
    <mergeCell ref="B35:D35"/>
    <mergeCell ref="B36:D36"/>
    <mergeCell ref="B47:D47"/>
    <mergeCell ref="B30:D30"/>
    <mergeCell ref="B31:D31"/>
  </mergeCells>
  <phoneticPr fontId="3" type="noConversion"/>
  <pageMargins left="0.23622047244094491" right="0.15748031496062992" top="0.19685039370078741" bottom="0.19685039370078741" header="0.19685039370078741" footer="0.31496062992125984"/>
  <pageSetup paperSize="9" scale="45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9</vt:i4>
      </vt:variant>
    </vt:vector>
  </HeadingPairs>
  <TitlesOfParts>
    <vt:vector size="14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'Розшифровка 1 до Формування'!Заголовки_для_печати</vt:lpstr>
      <vt:lpstr>'Розшифровка 2 до формування'!Заголовки_для_печати</vt:lpstr>
      <vt:lpstr>'Розшифровка кап'!Заголовки_для_печати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за джерелами'!Область_печати</vt:lpstr>
      <vt:lpstr>'Розшифровка кап'!Область_печати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CMtaD</cp:lastModifiedBy>
  <cp:lastPrinted>2023-01-31T07:58:05Z</cp:lastPrinted>
  <dcterms:created xsi:type="dcterms:W3CDTF">2003-03-13T16:00:22Z</dcterms:created>
  <dcterms:modified xsi:type="dcterms:W3CDTF">2023-01-31T09:06:07Z</dcterms:modified>
</cp:coreProperties>
</file>